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https://eceuropaeu.sharepoint.com/teams/GRP-ETSAviationIA/Shared Documents/General/Aviation directive implementation/MRR 2nd update/Templates/AER training/"/>
    </mc:Choice>
  </mc:AlternateContent>
  <xr:revisionPtr revIDLastSave="227" documentId="11_20A3B36EECEF4261D03CFA2C1DE8EF08A28A3A19" xr6:coauthVersionLast="47" xr6:coauthVersionMax="47" xr10:uidLastSave="{89EAFD0C-FB61-4273-8177-0CFF7B9BB66D}"/>
  <workbookProtection lockStructure="1"/>
  <bookViews>
    <workbookView xWindow="28680" yWindow="-120" windowWidth="29040" windowHeight="15840" tabRatio="777" xr2:uid="{00000000-000D-0000-FFFF-FFFF00000000}"/>
  </bookViews>
  <sheets>
    <sheet name="Contents" sheetId="9" r:id="rId1"/>
    <sheet name="Guidelines and conditions" sheetId="10" r:id="rId2"/>
    <sheet name="Identification and description" sheetId="33" r:id="rId3"/>
    <sheet name="Emissions overview" sheetId="34" r:id="rId4"/>
    <sheet name="Emissions Data" sheetId="35" r:id="rId5"/>
    <sheet name="Aircraft Data" sheetId="36" r:id="rId6"/>
    <sheet name="MS specific content" sheetId="37" r:id="rId7"/>
    <sheet name="Annex Aerodromes" sheetId="42" r:id="rId8"/>
    <sheet name="FEETS Application" sheetId="43" r:id="rId9"/>
    <sheet name="Annex" sheetId="38" r:id="rId10"/>
    <sheet name="Annex_2023" sheetId="41" r:id="rId11"/>
    <sheet name="CORSIA emissions" sheetId="39" r:id="rId12"/>
    <sheet name="EUwideConstants" sheetId="17" state="hidden" r:id="rId13"/>
    <sheet name="MSParameters" sheetId="31" state="hidden" r:id="rId14"/>
    <sheet name="Translations" sheetId="30" state="hidden" r:id="rId15"/>
    <sheet name="VersionDocumentation" sheetId="25" state="hidden" r:id="rId16"/>
  </sheets>
  <definedNames>
    <definedName name="_xlnm._FilterDatabase" localSheetId="14" hidden="1">Translations!$A$1:$C$1326</definedName>
    <definedName name="AltFuels">EUwideConstants!$A$942:$E$942</definedName>
    <definedName name="aviationauthorities">EUwideConstants!$A$526:$A$642</definedName>
    <definedName name="BooleanValues">EUwideConstants!$A$411:$A$414</definedName>
    <definedName name="CNST_AltFuelsEligible">EUwideConstants!$D$924:$D$939</definedName>
    <definedName name="CNST_AltFuelsIsBio">EUwideConstants!$F$924:$F$939</definedName>
    <definedName name="CNST_AltFuelsIsLCF">EUwideConstants!$H$924:$H$939</definedName>
    <definedName name="CNST_AltFuelsIsRF">EUwideConstants!$G$924:$G$939</definedName>
    <definedName name="CNST_AltFuelsSupportRate">EUwideConstants!$E$924:$E$939</definedName>
    <definedName name="CNST_AltFuelsZero">EUwideConstants!$C$924:$C$939</definedName>
    <definedName name="CNST_AltFuelTypes">EUwideConstants!$A$924:$A$939</definedName>
    <definedName name="CNST_AltFuelTypesShort">EUwideConstants!$B$924:$B$939</definedName>
    <definedName name="CNST_AltMainFuels">EUwideConstants!$A$918:$A$921</definedName>
    <definedName name="CNST_Biofuels">EUwideConstants!$A$944:$A$950</definedName>
    <definedName name="CNST_EligibilityLevels">EUwideConstants!$A$970:$A$973</definedName>
    <definedName name="CNST_FossilAltFuel">EUwideConstants!$D$944</definedName>
    <definedName name="CNST_MainFuelEFref">EUwideConstants!$B$955:$B$958</definedName>
    <definedName name="CNST_MainFuelNCVref">EUwideConstants!$C$955:$C$958</definedName>
    <definedName name="CNST_MainFuelTypes">EUwideConstants!$A$955:$A$958</definedName>
    <definedName name="CNST_RFNBO_RCF">EUwideConstants!$B$944:$B$947</definedName>
    <definedName name="CNST_SLCF">EUwideConstants!$C$944:$C$946</definedName>
    <definedName name="CNTR_EFListSelected">EUwideConstants!$D$645:$D$648</definedName>
    <definedName name="CNTR_EFSystemselected">'CORSIA emissions'!$N$5</definedName>
    <definedName name="CNTR_ETS3c6OptOut">'FEETS Application'!$I$8</definedName>
    <definedName name="CNTR_FuelListCompleteData">'Emissions overview'!$U$86:$U$100</definedName>
    <definedName name="CNTR_FuelListEFprelim">'Emissions overview'!$L$86:$L$100</definedName>
    <definedName name="CNTR_FuelListEFprelimInclStd">'Emissions overview'!$L$83:$L$100</definedName>
    <definedName name="CNTR_FuelListIsBioFuel">'Emissions overview'!$W$86:$W$100</definedName>
    <definedName name="CNTR_FuelListIsFossil">'Emissions overview'!$Z$86:$Z$100</definedName>
    <definedName name="CNTR_FuelListIsRF">'Emissions overview'!$X$86:$X$100</definedName>
    <definedName name="CNTR_FuelListIsSLCF">'Emissions overview'!$Y$86:$Y$100</definedName>
    <definedName name="CNTR_FuelListIsZero">'Emissions overview'!$N$86:$N$100</definedName>
    <definedName name="CNTR_FuelListIsZeroInclStd">'Emissions overview'!$N$83:$N$100</definedName>
    <definedName name="CNTR_FuelListNames">'Emissions overview'!$V$86:$V$100</definedName>
    <definedName name="CNTR_FuelListNamesInclStd">'Emissions overview'!$V$83:$V$100</definedName>
    <definedName name="CNTR_FuelListSubType">'Emissions overview'!$J$86:$J$100</definedName>
    <definedName name="CNTR_FuelListSupportRate">'Emissions overview'!$O$86:$O$100</definedName>
    <definedName name="CNTR_FuelSelection">'Emissions overview'!$AC$82</definedName>
    <definedName name="CNTR_FuelSelectionInclStd">'Emissions overview'!$AC$103</definedName>
    <definedName name="CNTR_ReportingYear">'Identification and description'!$M$7</definedName>
    <definedName name="CNTR_simplified_grey">'Emissions overview'!$U$238</definedName>
    <definedName name="CommissionApprovedTools">EUwideConstants!$A$495:$A$498</definedName>
    <definedName name="CompetentAuthorities">EUwideConstants!$A$505:$A$522</definedName>
    <definedName name="CONTR_CORSIAapplied">'Identification and description'!$M$30</definedName>
    <definedName name="CONTR_onlyCORSIA">'Identification and description'!$M$38</definedName>
    <definedName name="CORSIA_EFList">EUwideConstants!$C$645:$C$648</definedName>
    <definedName name="CORSIA_FuelsList">EUwideConstants!$A$645:$A$648</definedName>
    <definedName name="DensMethod">EUwideConstants!$A$474:$A$477</definedName>
    <definedName name="EF_SystemSelection">EUwideConstants!$A$651:$A$652</definedName>
    <definedName name="ErrMsg_Art3c6OK">EUwideConstants!$A$978</definedName>
    <definedName name="ERRmsg_Incomplete">EUwideConstants!$A$964</definedName>
    <definedName name="ERRmsg_SelectMainFuel">EUwideConstants!$A$961</definedName>
    <definedName name="ErrMsg_YouOptOut">EUwideConstants!$A$976</definedName>
    <definedName name="EU_EF_forCORSIAFuelList">EUwideConstants!$B$645:$B$648</definedName>
    <definedName name="EUconst_Eligible">EUwideConstants!$A$20</definedName>
    <definedName name="EUconst_ErrMsgNumerOfFlights">EUwideConstants!$A$24</definedName>
    <definedName name="Euconst_MPReferenceDateTypes">EUwideConstants!$A$306:$A$311</definedName>
    <definedName name="Euconst_NA">EUwideConstants!$A$403</definedName>
    <definedName name="EUconst_NotEligible">EUwideConstants!$A$22</definedName>
    <definedName name="EUETS_FuelsList">'Emissions overview'!$E$38:$G$50</definedName>
    <definedName name="flighttypes">EUwideConstants!$A$325:$A$328</definedName>
    <definedName name="freightandmail">EUwideConstants!$A$355:$A$357</definedName>
    <definedName name="Frequency">EUwideConstants!$A$419:$A$424</definedName>
    <definedName name="ICAO_MSList">EUwideConstants!$A$686:$A$878</definedName>
    <definedName name="IND_COL_AircraftEndDate">'Aircraft Data'!$H$9:$H$63</definedName>
    <definedName name="IND_COL_AircraftOwner">'Aircraft Data'!$F$9:$F$63</definedName>
    <definedName name="IND_COL_AircraftRegistrytionNumbers">'Aircraft Data'!$E$9:$E$63</definedName>
    <definedName name="IND_COL_AircraftStartingDate">'Aircraft Data'!$G$9:$G$63</definedName>
    <definedName name="IND_COL_AircraftSubType">'Aircraft Data'!$D$9:$D$63</definedName>
    <definedName name="IND_COL_AircraftType">'Aircraft Data'!$C$9:$C$63</definedName>
    <definedName name="IND_COL_AircraftUsedForCHETS">'Aircraft Data'!$J$9:$J$63</definedName>
    <definedName name="IND_COL_AircraftUsedForCORSIA">'Aircraft Data'!$K$9:$K$63</definedName>
    <definedName name="IND_COL_AircraftUsedForEUETS">'Aircraft Data'!$I$9:$I$63</definedName>
    <definedName name="IND_COL_CORSIA_CERTused">'CORSIA emissions'!$I$70:$I$369</definedName>
    <definedName name="IND_COL_CORSIA_UnusedColumnE">'CORSIA emissions'!$E$70:$E$369</definedName>
    <definedName name="IND_COL_CORSIA_UnusedColumnH">'CORSIA emissions'!$H$70:$H$369</definedName>
    <definedName name="IND_COL_CORSIAairportFROM">'CORSIA emissions'!$C$70:$C$369</definedName>
    <definedName name="IND_COL_CORSIAairportTO">'CORSIA emissions'!$F$70:$F$369</definedName>
    <definedName name="IND_COL_CORSIAcountryFROM">'CORSIA emissions'!$D$70:$D$369</definedName>
    <definedName name="IND_COL_CORSIAcountryTO">'CORSIA emissions'!$G$70:$G$369</definedName>
    <definedName name="IND_COL_CORSIAemissionsTCO2">'CORSIA emissions'!$N$70:$N$369</definedName>
    <definedName name="IND_COL_CORSIAfuelEmissionFactor">'CORSIA emissions'!$M$70:$M$369</definedName>
    <definedName name="IND_COL_CORSIAfuelTonnesConsumed">'CORSIA emissions'!$L$70:$L$369</definedName>
    <definedName name="IND_COL_CORSIAfuelType">'CORSIA emissions'!$K$70:$K$369</definedName>
    <definedName name="IND_COL_CORSIANumberOfFlights">'CORSIA emissions'!$J$70:$J$369</definedName>
    <definedName name="IND_COL_CORSIAoffsettingRequirement">'CORSIA emissions'!$O$70:$O$369</definedName>
    <definedName name="INDICATIOR_FeetAggTable">'FEETS Application'!$D$18:$I$26</definedName>
    <definedName name="INDICATOR_5b1ETS_AlternativeFuelsDescription">'Emissions overview'!$D$110:$Q$125</definedName>
    <definedName name="INDICATOR_5b1ETS_AlternativeFuelsDescriptionFeedstock">'Emissions overview'!$G$110:$H$125</definedName>
    <definedName name="INDICATOR_5b1ETS_AlternativeFuelsDescriptionLCEmissions">'Emissions overview'!$Q$110:$Q$125</definedName>
    <definedName name="INDICATOR_5b1ETS_AlternativeFuelsDescriptionName">'Emissions overview'!$E$110:$F$125</definedName>
    <definedName name="INDICATOR_5b1ETS_AlternativeFuelsDescriptionNumber">'Emissions overview'!$D$110:$D$125</definedName>
    <definedName name="INDICATOR_5b1ETS_AlternativeFuelsDescriptionProcess">'Emissions overview'!$J$110:$J$125</definedName>
    <definedName name="INDICATOR_5bETS_FuelsDefinition">'Emissions overview'!$D$82:$O$101</definedName>
    <definedName name="INDICATOR_5bETS_FuelsDefinitionBioContent">'Emissions overview'!$J$38:$J$50</definedName>
    <definedName name="INDICATOR_5bETS_FuelsDefinitionBioContentNonSust">'Emissions overview'!$K$38:$K$50</definedName>
    <definedName name="INDICATOR_5bETS_FuelsDefinitionName">'Emissions overview'!$E$38:$G$50</definedName>
    <definedName name="INDICATOR_5bETS_FuelsDefinitionNCV">'Emissions overview'!$I$38:$I$50</definedName>
    <definedName name="INDICATOR_5bETS_FuelsDefinitionNumber">'Emissions overview'!$D$38:$D$50</definedName>
    <definedName name="INDICATOR_5bETS_FuelsDefinitionPrelimEF">'Emissions overview'!$H$38:$H$50</definedName>
    <definedName name="INDICATOR_5cETS_FuelsEmissionsCO2Bio">'Emissions overview'!$K$143:$K$161</definedName>
    <definedName name="INDICATOR_5cETS_FuelsEmissionsCO2BioNonSust">'Emissions overview'!$L$143:$L$161</definedName>
    <definedName name="INDICATOR_5cETS_FuelsEmissionsCO2Em">'Emissions overview'!$J$143:$J$161</definedName>
    <definedName name="INDICATOR_5cETS_FuelsEmissionsEF">'Emissions overview'!$G$143:$G$161</definedName>
    <definedName name="INDICATOR_5cETS_FuelsEmissionsFuelConsumption">'Emissions overview'!$I$143:$I$161</definedName>
    <definedName name="INDICATOR_5cETS_FuelsEmissionsName">'Emissions overview'!$E$143:$F$161</definedName>
    <definedName name="INDICATOR_5cETS_FuelsEmissionsNumber">'Emissions overview'!$D$143:$D$161</definedName>
    <definedName name="INDICATOR_5cETS_FuelsEmissionsTable">'Emissions overview'!$D$143:$Q$161</definedName>
    <definedName name="INDICATOR_5dCHETS_FuelsEmissionsCO2Bio">'Emissions overview'!$J$203:$J$215</definedName>
    <definedName name="INDICATOR_5dCHETS_FuelsEmissionsCO2BioNonSust">'Emissions overview'!$K$203:$K$215</definedName>
    <definedName name="INDICATOR_5dCHETS_FuelsEmissionsCO2Em">'Emissions overview'!$I$203:$I$215</definedName>
    <definedName name="INDICATOR_5dCHETS_FuelsEmissionsEF">'Emissions overview'!$G$203:$G$215</definedName>
    <definedName name="INDICATOR_5dCHETS_FuelsEmissionsFuelConsumption">'Emissions overview'!$H$203:$H$215</definedName>
    <definedName name="INDICATOR_5dCHETS_FuelsEmissionsName">'Emissions overview'!$E$203:$F$215</definedName>
    <definedName name="INDICATOR_5dCHETS_FuelsEmissionsTable">'Emissions overview'!$D$182:$Q$200</definedName>
    <definedName name="INDICATOR_8aEUETS_Summary">'Emissions Data'!$E$13:$Z$17</definedName>
    <definedName name="INDICATOR_8bbCHETS_DomesticFlightsTable">'Emissions Data'!$C$146:$Z$146</definedName>
    <definedName name="INDICATOR_8bbCHETS_EmissionsTotalCH">'Emissions Data'!$Y$146</definedName>
    <definedName name="INDICATOR_8bbCHETS_FuelUseAlternative1">'Emissions Data'!$H$146:$V$146</definedName>
    <definedName name="INDICATOR_8bbCHETS_FuelUseAvGas">'Emissions Data'!$G$146</definedName>
    <definedName name="INDICATOR_8bbCHETS_FuelUseJetA_A1">'Emissions Data'!$E$146</definedName>
    <definedName name="INDICATOR_8bbCHETS_FuelUseJetB">'Emissions Data'!$F$146</definedName>
    <definedName name="INDICATOR_8bbCHETS_NumberFlights">'Emissions Data'!$Z$146</definedName>
    <definedName name="INDICATOR_8bcCHETS_EmissionsTotalPerPair">'Emissions Data'!$Y$152:$Y$183</definedName>
    <definedName name="INDICATOR_8bcCHETS_FuelUseAlternative1">'Emissions Data'!$H$152:$V$183</definedName>
    <definedName name="INDICATOR_8bcCHETS_FuelUseAvGas">'Emissions Data'!$G$152:$G$183</definedName>
    <definedName name="INDICATOR_8bcCHETS_FuelUseJetA_A1">'Emissions Data'!$E$152:$E$183</definedName>
    <definedName name="INDICATOR_8bcCHETS_FuelUseJetB">'Emissions Data'!$F$152:$F$183</definedName>
    <definedName name="INDICATOR_8bcCHETS_MSFlightsTable">'Emissions Data'!$C$152:$Z$183</definedName>
    <definedName name="INDICATOR_8bcCHETS_NumberFlights">'Emissions Data'!$Z$152:$Z$183</definedName>
    <definedName name="INDICATOR_8bcCHETS_StateArrival">'Emissions Data'!$D$152:$D$182</definedName>
    <definedName name="INDICATOR_8bCHETS_Summary">'Emissions Data'!$E$135:$Z$137</definedName>
    <definedName name="INDICATOR_8bETS_EmissionsTotalPerMS">'Emissions Data'!$Y$27:$Y$58</definedName>
    <definedName name="INDICATOR_8bETS_FuelUseAlternative">'Emissions Data'!$H$27:$V$58</definedName>
    <definedName name="INDICATOR_8bETS_FuelUseAvGas">'Emissions Data'!$G$27:$G$58</definedName>
    <definedName name="INDICATOR_8bETS_FuelUseJetA_A1">'Emissions Data'!$E$27:$E$58</definedName>
    <definedName name="INDICATOR_8bETS_FuelUseJetB">'Emissions Data'!$F$27:$F$58</definedName>
    <definedName name="INDICATOR_8bETS_MS">'Emissions Data'!$C$27:$C$58</definedName>
    <definedName name="INDICATOR_8bETS_MSFlightsTable">'Emissions Data'!$C$27:$Z$58</definedName>
    <definedName name="INDICATOR_8bETS_NumberFlights">'Emissions Data'!$Z$27:$Z$58</definedName>
    <definedName name="INDICATOR_8cETS_EEAFlightsTable">'Emissions Data'!$C$65:$Z$91</definedName>
    <definedName name="INDICATOR_8cETS_EmissionsTotalPerPair">'Emissions Data'!$Y$65:$Y$91</definedName>
    <definedName name="INDICATOR_8cETS_FuelUseAlternative">'Emissions Data'!$H$65:$V$91</definedName>
    <definedName name="INDICATOR_8cETS_FuelUseAvGas">'Emissions Data'!$G$65:$G$91</definedName>
    <definedName name="INDICATOR_8cETS_FuelUseJetA_A1">'Emissions Data'!$E$65:$E$91</definedName>
    <definedName name="INDICATOR_8cETS_FuelUseJetB">'Emissions Data'!$F$65:$F$91</definedName>
    <definedName name="INDICATOR_8cETS_NumberFlights">'Emissions Data'!$Z$65:$Z$91</definedName>
    <definedName name="INDICATOR_8cETS_StateArrival">'Emissions Data'!$D$65:$D$91</definedName>
    <definedName name="INDICATOR_8cETS_StateDeparture">'Emissions Data'!$C$65:$C$91</definedName>
    <definedName name="INDICATOR_AdminCA">'Identification and description'!$I$61</definedName>
    <definedName name="INDICATOR_AdminMS">'Identification and description'!$I$59</definedName>
    <definedName name="INDICATOR_AircraftData">'Aircraft Data'!$C$9:$K$63</definedName>
    <definedName name="INDICATOR_AircraftData_CORSIAuse">'Aircraft Data'!$K$9:$K$63</definedName>
    <definedName name="INDICATOR_AircraftData_EUETSuse">'Aircraft Data'!$I$9:$I$63</definedName>
    <definedName name="INDICATOR_AircraftData_FleetEndDate">'Aircraft Data'!$H$9:$H$63</definedName>
    <definedName name="INDICATOR_AircraftData_FleetStartingDate">'Aircraft Data'!$G$9:$G$63</definedName>
    <definedName name="INDICATOR_AircraftData_Owner">'Aircraft Data'!$F$9:$F$63</definedName>
    <definedName name="INDICATOR_AircraftData_RegistrationNumber">'Aircraft Data'!$E$9:$E$63</definedName>
    <definedName name="INDICATOR_AircraftData_SubType">'Aircraft Data'!$D$9:$D$63</definedName>
    <definedName name="INDICATOR_AircraftData_Type">'Aircraft Data'!$C$9:$C$63</definedName>
    <definedName name="INDICATOR_Annex23EUETS_AerodromeArrival" localSheetId="10">Annex_2023!$D$37:$D$117</definedName>
    <definedName name="INDICATOR_Annex23EUETS_AerodromeDeparture" localSheetId="10">Annex_2023!$C$37:$C$117</definedName>
    <definedName name="INDICATOR_Annex23EUETS_EmissionsPerPair" localSheetId="10">Annex_2023!$F$37:$F$117</definedName>
    <definedName name="INDICATOR_Annex23EUETS_ExcludedEmissions">Annex_2023!$G$19</definedName>
    <definedName name="INDICATOR_Annex23EUETS_FlightsPerPair" localSheetId="10">Annex_2023!$E$37:$E$117</definedName>
    <definedName name="INDICATOR_Annex23EUETS_TotalEmissions" localSheetId="10">Annex_2023!$F$121</definedName>
    <definedName name="INDICATOR_Annex23EUETS_TotalFlights" localSheetId="10">Annex_2023!$E$121</definedName>
    <definedName name="INDICATOR_Annex23EUETS_TotalforAllocation">Annex_2023!$G$21</definedName>
    <definedName name="INDICATOR_Annex23EUETStable" localSheetId="10">Annex_2023!$C$37:$F$117</definedName>
    <definedName name="INDICATOR_AnnexAerodromesTable">'Annex Aerodromes'!$C$59:$K$258</definedName>
    <definedName name="INDICATOR_AnnexAerodromesTotalAttrFuel">'Annex Aerodromes'!$I$259</definedName>
    <definedName name="INDICATOR_AnnexAerodromesTotalAttrZRFuel">'Annex Aerodromes'!$J$259</definedName>
    <definedName name="INDICATOR_AnnexAerodromesTotalFEETSFuel">'Annex Aerodromes'!$K$259</definedName>
    <definedName name="INDICATOR_AnnexAerodromesTotalFuel">'Annex Aerodromes'!$F$259</definedName>
    <definedName name="INDICATOR_AnnexEUETS_AerodromeArrival">Annex!$D$33:$D$113</definedName>
    <definedName name="INDICATOR_AnnexEUETS_AerodromeDeparture">Annex!$C$33:$C$113</definedName>
    <definedName name="INDICATOR_AnnexEUETS_EmissionsPerPair">Annex!$H$33:$H$113</definedName>
    <definedName name="INDICATOR_AnnexEUETS_FlightsPerPair">Annex!$E$33:$E$113</definedName>
    <definedName name="INDICATOR_AnnexEUETS_TotalEmissions">Annex!$H$117</definedName>
    <definedName name="INDICATOR_AnnexEUETS_TotalFlights">Annex!$E$117</definedName>
    <definedName name="INDICATOR_AnnexEUETS_TotalFuel">Annex!$G$117</definedName>
    <definedName name="INDICATOR_AnnexEUETStable">Annex!$C$33:$H$113</definedName>
    <definedName name="INDICATOR_AOAddressCity">'Identification and description'!$I$73</definedName>
    <definedName name="INDICATOR_AOAddressCountry">'Identification and description'!$I$76</definedName>
    <definedName name="INDICATOR_AOAddressEmail">'Identification and description'!$I$78</definedName>
    <definedName name="INDICATOR_AOAddressLine1">'Identification and description'!$I$71</definedName>
    <definedName name="INDICATOR_AOAddressLine2">'Identification and description'!$I$72</definedName>
    <definedName name="INDICATOR_AOAddressStateProvince">'Identification and description'!$I$74</definedName>
    <definedName name="INDICATOR_AOAddressTelephone">'Identification and description'!$I$77</definedName>
    <definedName name="INDICATOR_AOAddressZIP">'Identification and description'!$I$75</definedName>
    <definedName name="INDICATOR_AOC">'Identification and description'!$I$65</definedName>
    <definedName name="INDICATOR_AOCissueingAuthority">'Identification and description'!$I$66</definedName>
    <definedName name="INDICATOR_AOContactPersonEmail">'Identification and description'!$I$89</definedName>
    <definedName name="INDICATOR_AOContactPersonFirstName">'Identification and description'!$I$83</definedName>
    <definedName name="INDICATOR_AOContactPersonJobTitle">'Identification and description'!$I$85</definedName>
    <definedName name="INDICATOR_AOContactPersonOrganisation">'Identification and description'!$I$87</definedName>
    <definedName name="INDICATOR_AOContactPersonSurname">'Identification and description'!$I$84</definedName>
    <definedName name="INDICATOR_AOContactPersonTelephone">'Identification and description'!$I$88</definedName>
    <definedName name="INDICATOR_AOContactPersonTitle">'Identification and description'!$I$82</definedName>
    <definedName name="INDICATOR_AOCorrespondenceAddressLine1">'Identification and description'!$I$98</definedName>
    <definedName name="INDICATOR_AOCorrespondenceAddressLine2">'Identification and description'!$I$99</definedName>
    <definedName name="INDICATOR_AOCorrespondenceCity">'Identification and description'!$I$100</definedName>
    <definedName name="INDICATOR_AOCorrespondenceCountry">'Identification and description'!$I$103</definedName>
    <definedName name="INDICATOR_AOCorrespondenceEmail">'Identification and description'!$I$96</definedName>
    <definedName name="INDICATOR_AOCorrespondenceFirstName">'Identification and description'!$I$94</definedName>
    <definedName name="INDICATOR_AOCorrespondenceStateProvince">'Identification and description'!$I$101</definedName>
    <definedName name="INDICATOR_AOCorrespondenceSurname">'Identification and description'!$I$95</definedName>
    <definedName name="INDICATOR_AOCorrespondenceTelephone">'Identification and description'!$I$97</definedName>
    <definedName name="INDICATOR_AOCorrespondenceTitle">'Identification and description'!$I$93</definedName>
    <definedName name="INDICATOR_AOCorrespondenceZIP">'Identification and description'!$I$102</definedName>
    <definedName name="INDICATOR_AOLegalReprAddressLine1">'Identification and description'!$I$113</definedName>
    <definedName name="INDICATOR_AOLegalReprAddressLine2">'Identification and description'!$I$114</definedName>
    <definedName name="INDICATOR_AOLegalReprCity">'Identification and description'!$I$115</definedName>
    <definedName name="INDICATOR_AOLegalReprCountry">'Identification and description'!$I$118</definedName>
    <definedName name="INDICATOR_AOLegalReprEmail">'Identification and description'!$I$111</definedName>
    <definedName name="INDICATOR_AOLegalReprFirstName">'Identification and description'!$I$109</definedName>
    <definedName name="INDICATOR_AOLegalReprStateProvince">'Identification and description'!$I$116</definedName>
    <definedName name="INDICATOR_AOLegalReprSurname">'Identification and description'!$I$110</definedName>
    <definedName name="INDICATOR_AOLegalReprTelephone">'Identification and description'!$I$112</definedName>
    <definedName name="INDICATOR_AOLegalReprTitle">'Identification and description'!$I$108</definedName>
    <definedName name="INDICATOR_AOLegalReprZIP">'Identification and description'!$I$117</definedName>
    <definedName name="INDICATOR_AOname">'Identification and description'!$I$44</definedName>
    <definedName name="INDICATOR_AOnameEClist">'Identification and description'!$I$50</definedName>
    <definedName name="INDICATOR_AOuniquID">'Identification and description'!$I$47</definedName>
    <definedName name="INDICATOR_Art28a6Used">'Identification and description'!$K$16</definedName>
    <definedName name="INDICATOR_CHETS_TotalEmissions">'Emissions overview'!$J$218</definedName>
    <definedName name="INDICATOR_CHETS_TotalFlights">'Emissions overview'!$L$24</definedName>
    <definedName name="INDICATOR_CHETS_TotalNonSustainableBiomassEmissions">'Emissions overview'!$K$222</definedName>
    <definedName name="INDICATOR_CHETS_TotalNonZeroRatedBioEm">'Emissions overview'!$O$226</definedName>
    <definedName name="INDICATOR_CHETS_TotalNonZeroRatedRFNBO">'Emissions overview'!$P$227</definedName>
    <definedName name="INDICATOR_CHETS_TotalNonZeroRatedSLCF">'Emissions overview'!$Q$228</definedName>
    <definedName name="INDICATOR_CHETS_TotalPrelEF_Emissions">'Emissions overview'!$K$222</definedName>
    <definedName name="INDICATOR_CHETS_TotalSustainableBiomassEmissions">'Emissions overview'!$K$221</definedName>
    <definedName name="INDICATOR_CHETS_TotalZeroRatedBioEm">'Emissions overview'!$L$223</definedName>
    <definedName name="INDICATOR_CHETS_TotalZeroRatedEmissions">'Emissions overview'!$K$221</definedName>
    <definedName name="INDICATOR_CHETS_TotalZeroRatedRFNBO">'Emissions overview'!$M$224</definedName>
    <definedName name="INDICATOR_CHETS_TotalZeroRatedSLCF">'Emissions overview'!$N$225</definedName>
    <definedName name="INDICATOR_Comments">'MS specific content'!$B$7:$J$32</definedName>
    <definedName name="INDICATOR_CORSIA_EligibleFuels">'CORSIA emissions'!$C$34:$M$39</definedName>
    <definedName name="INDICATOR_CORSIA_EligibleFuels_Feedstock">'CORSIA emissions'!$D$34:$D$39</definedName>
    <definedName name="INDICATOR_CORSIA_EligibleFuels_LCEmissions">'CORSIA emissions'!$J$34:$K$39</definedName>
    <definedName name="INDICATOR_CORSIA_EligibleFuels_MassNeat">'CORSIA emissions'!$G$34:$I$39</definedName>
    <definedName name="INDICATOR_CORSIA_EligibleFuels_ReductionsClaimed">'CORSIA emissions'!$L$34:$M$39</definedName>
    <definedName name="INDICATOR_CORSIA_EligibleFuels_Type">'CORSIA emissions'!$C$34:A$39</definedName>
    <definedName name="INDICATOR_CORSIA_EligibleFuelsTable">'CORSIA emissions'!$C$34:$N$38</definedName>
    <definedName name="INDICATOR_CORSIA_EligibleFuelsTOTAL">'CORSIA emissions'!$L$39</definedName>
    <definedName name="INDICATOR_CORSIA_EmissionsTable">'CORSIA emissions'!$C$70:$O$369</definedName>
    <definedName name="INDICATOR_CORSIA_totalCO2">'CORSIA emissions'!$M$15</definedName>
    <definedName name="INDICATOR_CORSIA_totalCO2withOffsetting">'CORSIA emissions'!$M$16</definedName>
    <definedName name="INDICATOR_CORSIA_totalFlights">'CORSIA emissions'!$M$17</definedName>
    <definedName name="INDICATOR_CORSIA_totalFlightsWithOffsetting">'CORSIA emissions'!$M$18</definedName>
    <definedName name="INDICATOR_CORSIA_totalTonnesAvGas">'CORSIA emissions'!$H$27</definedName>
    <definedName name="INDICATOR_CORSIA_totalTonnesEligibleFuelsClaimed">'CORSIA emissions'!$M$19</definedName>
    <definedName name="INDICATOR_CORSIA_totalTonnesJetA">'CORSIA emissions'!$H$24</definedName>
    <definedName name="INDICATOR_CORSIA_totalTonnesJetA1">'CORSIA emissions'!$H$25</definedName>
    <definedName name="INDICATOR_CORSIA_totalTonnesJetB">'CORSIA emissions'!$H$26</definedName>
    <definedName name="INDICATOR_CORSIAAnnexConfidential">'CORSIA emissions'!$N$50</definedName>
    <definedName name="INDICATOR_CORSIAAnnexConfidentialReasonFromETS">'CORSIA emissions'!$N$52</definedName>
    <definedName name="INDICATOR_CORSIAapplied">'Identification and description'!$K$30</definedName>
    <definedName name="INDICATOR_CORSIAotherState">'Identification and description'!$K$32</definedName>
    <definedName name="INDICATOR_CORSIAReportToState">'Identification and description'!$I$34</definedName>
    <definedName name="INDICATOR_DataGapsEmissions">'Emissions overview'!$Q$289:$Q$300</definedName>
    <definedName name="INDICATOR_DataGapsPercentCORSIA">'Emissions overview'!$K$306</definedName>
    <definedName name="INDICATOR_DataGapsPercentETS">'Emissions overview'!$K$303</definedName>
    <definedName name="INDICATOR_DataGapsReason">'Emissions overview'!$F$289:$F$300</definedName>
    <definedName name="INDICATOR_DataGapsReference">'Emissions overview'!$D$289:$D$300</definedName>
    <definedName name="INDICATOR_DataGapsReplacementMethod">'Emissions overview'!$I$289:$I$300</definedName>
    <definedName name="INDICATOR_DataGapsTable">'Emissions overview'!$D$289:$Q$300</definedName>
    <definedName name="INDICATOR_DataGapsType">'Emissions overview'!$I$289:$I$300</definedName>
    <definedName name="INDICATOR_ETS_EmissionsFullScope">'Emissions overview'!$J$250</definedName>
    <definedName name="INDICATOR_ETS_EmissionsReducedScope">'Emissions overview'!$J$251</definedName>
    <definedName name="INDICATOR_ETS_FlightsPerPeriod">'Emissions overview'!$G$243:$G$245</definedName>
    <definedName name="INDICATOR_ETS_SETEligibility">'Emissions overview'!$J$253</definedName>
    <definedName name="INDICATOR_ETS_TotalEmissions">'Emissions overview'!$J$164</definedName>
    <definedName name="INDICATOR_ETS_TotalFlights">'Emissions overview'!$L$26</definedName>
    <definedName name="INDICATOR_ETS_TotalNonSustainableBiomassEmissions">'Emissions overview'!$K$168</definedName>
    <definedName name="INDICATOR_ETS_TotalNonZeroRatedBioEm">'Emissions overview'!$O$172</definedName>
    <definedName name="INDICATOR_ETS_TotalNonZeroRatedRFNBO">'Emissions overview'!$P$173</definedName>
    <definedName name="INDICATOR_ETS_TotalNonZeroRatedSLCF">'Emissions overview'!$Q$174</definedName>
    <definedName name="INDICATOR_ETS_TotalPrelEF_Emissions">'Emissions overview'!$K$168</definedName>
    <definedName name="INDICATOR_ETS_TotalSustainableBiomassEmissions">'Emissions overview'!$K$167</definedName>
    <definedName name="INDICATOR_ETS_TotalZeroRatedBioEm">'Emissions overview'!$L$169</definedName>
    <definedName name="INDICATOR_ETS_TotalZeroRatedEmissions">'Emissions overview'!$K$167</definedName>
    <definedName name="INDICATOR_ETS_TotalZeroRatedRFNBO">'Emissions overview'!$M$170</definedName>
    <definedName name="INDICATOR_ETS_TotalZeroRatedSLCF">'Emissions overview'!$N$171</definedName>
    <definedName name="INDICATOR_EUETS_TotalFlights">'Emissions overview'!$L$22</definedName>
    <definedName name="INDICATOR_EUETSAnnexConfidential">Annex!$H$11</definedName>
    <definedName name="INDICATOR_EUETSAnnexConfidentialFileName">Annex!$E$21</definedName>
    <definedName name="INDICATOR_EUETSAnnexConfidentialReasoning">Annex!$C$14:$H$18</definedName>
    <definedName name="INDICATOR_ICAOcallSign">'Identification and description'!$I$53</definedName>
    <definedName name="INDICATOR_LanguageFilling">'Identification and description'!$J$13</definedName>
    <definedName name="INDICATOR_MPApprovalDate">'Emissions overview'!$I$9</definedName>
    <definedName name="INDICATOR_MPDeviations">'Emissions overview'!$I$12</definedName>
    <definedName name="INDICATOR_MPDeviationsDescription">'Emissions overview'!$D$15:$K$17</definedName>
    <definedName name="INDICATOR_MPVersion">'Emissions overview'!$I$7</definedName>
    <definedName name="INDICATOR_NoETSobligation">'Identification and description'!$K$38</definedName>
    <definedName name="INDICATOR_OperatingLicense">'Identification and description'!$I$67</definedName>
    <definedName name="INDICATOR_OperatingLicenseAuthority">'Identification and description'!$I$68</definedName>
    <definedName name="INDICATOR_ReferenceFileName">Contents!$E$103</definedName>
    <definedName name="INDICATOR_RegistrationMarkings">'Identification and description'!$I$56</definedName>
    <definedName name="INDICATOR_ReportingYear">'Identification and description'!$I$7</definedName>
    <definedName name="INDICATOR_ReportVersion">'Identification and description'!$K$10</definedName>
    <definedName name="INDICATOR_TemplateLanguage">Contents!$E$102</definedName>
    <definedName name="INDICATOR_TemplateProvidedBy">Contents!$E$100</definedName>
    <definedName name="INDICATOR_TemplatePublicationDate">Contents!$E$101</definedName>
    <definedName name="INDICATOR_ToolUsedForAllCORSIAemissions">'Emissions overview'!$K$265</definedName>
    <definedName name="INDICATOR_ToolUsedForEmissionsWithoutOffsetting">'Emissions overview'!$K$271</definedName>
    <definedName name="INDICATOR_UsedSimplifiedApproachETS">'Emissions overview'!$I$238</definedName>
    <definedName name="INDICATOR_VerifierAccredMS">'Identification and description'!$I$145</definedName>
    <definedName name="INDICATOR_VerifierAccredNumber">'Identification and description'!$I$146</definedName>
    <definedName name="INDICATOR_VerifierAdressLine1">'Identification and description'!$I$127</definedName>
    <definedName name="INDICATOR_VerifierAdressLine2">'Identification and description'!$I$128</definedName>
    <definedName name="INDICATOR_VerifierCity">'Identification and description'!$I$129</definedName>
    <definedName name="INDICATOR_VerifierCompany">'Identification and description'!$I$126</definedName>
    <definedName name="INDICATOR_VerifierContactEmail">'Identification and description'!$I$139</definedName>
    <definedName name="INDICATOR_VerifierContactFirstName">'Identification and description'!$I$137</definedName>
    <definedName name="INDICATOR_VerifierContactSurname">'Identification and description'!$I$138</definedName>
    <definedName name="INDICATOR_VerifierContactTelephone">'Identification and description'!$I$140</definedName>
    <definedName name="INDICATOR_VerifierContactTitle">'Identification and description'!$I$136</definedName>
    <definedName name="INDICATOR_VerifierCountry">'Identification and description'!$I$132</definedName>
    <definedName name="INDICATOR_VerifierStateProvince">'Identification and description'!$I$130</definedName>
    <definedName name="INDICATOR_VerifierZIP">'Identification and description'!$I$131</definedName>
    <definedName name="INDICATOR_WhichOtherTool">'Emissions overview'!$J$260</definedName>
    <definedName name="INDICATOR_WhichOtherToolForCORSIA">'Emissions overview'!$J$269</definedName>
    <definedName name="INDICATOR_WhichToolUsed">'Emissions overview'!$J$258</definedName>
    <definedName name="INDICATOR_WhichToolUsedForCORSIA">'Emissions overview'!$J$267</definedName>
    <definedName name="indRange">EUwideConstants!$A$365:$A$373</definedName>
    <definedName name="JUMP_10a">'Annex Aerodromes'!$C$5</definedName>
    <definedName name="JUMP_11a">Annex!$B$11</definedName>
    <definedName name="JUMP_2">'Identification and description'!$C$42</definedName>
    <definedName name="JUMP_3">'Identification and description'!$C$121</definedName>
    <definedName name="JUMP_5">'Emissions overview'!$C$19</definedName>
    <definedName name="JUMP_5c">'Emissions overview'!$D$128</definedName>
    <definedName name="JUMP_5d">'Emissions overview'!$D$177</definedName>
    <definedName name="JUMP_6">'Emissions overview'!$C$232</definedName>
    <definedName name="JUMP_7">'Emissions overview'!$C$275</definedName>
    <definedName name="Jump_8b">'Emissions Data'!$B$126</definedName>
    <definedName name="Legalstatus">EUwideConstants!$A$348:$A$352</definedName>
    <definedName name="List_AltFuels">EUwideConstants!$A$943:$E$943</definedName>
    <definedName name="ManSys">EUwideConstants!$A$376:$A$379</definedName>
    <definedName name="MeasMethod">EUwideConstants!$A$468:$A$470</definedName>
    <definedName name="memberstates">EUwideConstants!$A$28:$A$58</definedName>
    <definedName name="MemberStatesWithSwiss">EUwideConstants!$A$883:$A$915</definedName>
    <definedName name="MSLanguages">EUwideConstants!$A$656:$A$681</definedName>
    <definedName name="MSversiontracking">EUwideConstants!$A$392:$A$393</definedName>
    <definedName name="NewUpdate">EUwideConstants!$A$406:$A$407</definedName>
    <definedName name="notapplicable">EUwideConstants!$A$402:$A$403</definedName>
    <definedName name="operationscope">EUwideConstants!$A$332:$A$334</definedName>
    <definedName name="operationsscope">EUwideConstants!$A$332:$A$334</definedName>
    <definedName name="opstatus">EUwideConstants!$A$319:$A$321</definedName>
    <definedName name="parameters">EUwideConstants!$A$439:$A$444</definedName>
    <definedName name="passengermass">EUwideConstants!$A$360:$A$362</definedName>
    <definedName name="_xlnm.Print_Area" localSheetId="5">'Aircraft Data'!$B$1:$K$65</definedName>
    <definedName name="_xlnm.Print_Area" localSheetId="9">Annex!$A$1:$H$118</definedName>
    <definedName name="_xlnm.Print_Area" localSheetId="10">Annex_2023!$A$1:$G$121</definedName>
    <definedName name="_xlnm.Print_Area" localSheetId="0">Contents!$A$1:$J$104</definedName>
    <definedName name="_xlnm.Print_Area" localSheetId="11">'CORSIA emissions'!$A$1:$Q$373</definedName>
    <definedName name="_xlnm.Print_Area" localSheetId="4">'Emissions Data'!$B$1:$Z$123</definedName>
    <definedName name="_xlnm.Print_Area" localSheetId="3">'Emissions overview'!$B$2:$N$309</definedName>
    <definedName name="_xlnm.Print_Area" localSheetId="1">'Guidelines and conditions'!$A$1:$M$173</definedName>
    <definedName name="_xlnm.Print_Area" localSheetId="2">'Identification and description'!$A$1:$L$147</definedName>
    <definedName name="_xlnm.Print_Area" localSheetId="6">'MS specific content'!$A:$J</definedName>
    <definedName name="_xlnm.Print_Area" localSheetId="15">VersionDocumentation!$A$1:$E$113</definedName>
    <definedName name="ReportingYears">EUwideConstants!$A$2:$A$17</definedName>
    <definedName name="SelectPrimaryInfoSource">EUwideConstants!$A$397:$A$398</definedName>
    <definedName name="SourceClass">EUwideConstants!$A$462:$A$465</definedName>
    <definedName name="TankDataSource">EUwideConstants!$A$423:$A$428</definedName>
    <definedName name="Text_Fuel">EUwideConstants!$A$967</definedName>
    <definedName name="Title">EUwideConstants!$A$338:$A$345</definedName>
    <definedName name="TrueFalse">EUwideConstants!$A$388:$A$389</definedName>
    <definedName name="UncertThreshold">EUwideConstants!$A$447:$A$450</definedName>
    <definedName name="UncertTierResult">EUwideConstants!$A$453:$A$456</definedName>
    <definedName name="UncertValue">EUwideConstants!$A$488:$A$491</definedName>
    <definedName name="UpliftDataSource">EUwideConstants!$A$418:$A$420</definedName>
    <definedName name="worldcountries">EUwideConstants!$A$63:$A$301</definedName>
    <definedName name="YesNo">EUwideConstants!$A$383:$A$385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9" i="34" l="1"/>
  <c r="R158" i="34"/>
  <c r="R157" i="34"/>
  <c r="R156" i="34"/>
  <c r="R155" i="34"/>
  <c r="R154" i="34"/>
  <c r="R153" i="34"/>
  <c r="R152" i="34"/>
  <c r="R151" i="34"/>
  <c r="R150" i="34"/>
  <c r="R149" i="34"/>
  <c r="B21" i="10" l="1"/>
  <c r="B17" i="10"/>
  <c r="Z100" i="34" l="1"/>
  <c r="Z99" i="34"/>
  <c r="Z98" i="34"/>
  <c r="Z97" i="34"/>
  <c r="Z96" i="34"/>
  <c r="Z95" i="34"/>
  <c r="Z94" i="34"/>
  <c r="Z93" i="34"/>
  <c r="Z92" i="34"/>
  <c r="Z91" i="34"/>
  <c r="Z90" i="34"/>
  <c r="Z89" i="34"/>
  <c r="Z88" i="34"/>
  <c r="Z87" i="34"/>
  <c r="Z86" i="34"/>
  <c r="M71" i="42" l="1"/>
  <c r="M72" i="42"/>
  <c r="M73" i="42"/>
  <c r="M74" i="42"/>
  <c r="M75" i="42"/>
  <c r="M77" i="42"/>
  <c r="M78" i="42"/>
  <c r="M79" i="42"/>
  <c r="M80" i="42"/>
  <c r="M81" i="42"/>
  <c r="M82" i="42"/>
  <c r="M83" i="42"/>
  <c r="M84" i="42"/>
  <c r="M85" i="42"/>
  <c r="M86" i="42"/>
  <c r="M87" i="42"/>
  <c r="M88" i="42"/>
  <c r="M89" i="42"/>
  <c r="M90" i="42"/>
  <c r="M91" i="42"/>
  <c r="M92" i="42"/>
  <c r="M93" i="42"/>
  <c r="M94" i="42"/>
  <c r="M95" i="42"/>
  <c r="M96" i="42"/>
  <c r="M97" i="42"/>
  <c r="M98" i="42"/>
  <c r="M99" i="42"/>
  <c r="M100" i="42"/>
  <c r="M101" i="42"/>
  <c r="M102" i="42"/>
  <c r="M103" i="42"/>
  <c r="M104" i="42"/>
  <c r="M105" i="42"/>
  <c r="M106" i="42"/>
  <c r="M107" i="42"/>
  <c r="M108" i="42"/>
  <c r="M109" i="42"/>
  <c r="M110" i="42"/>
  <c r="M111" i="42"/>
  <c r="M112" i="42"/>
  <c r="M113" i="42"/>
  <c r="M114" i="42"/>
  <c r="M115" i="42"/>
  <c r="M116" i="42"/>
  <c r="M117" i="42"/>
  <c r="M118" i="42"/>
  <c r="M119" i="42"/>
  <c r="M120" i="42"/>
  <c r="M121" i="42"/>
  <c r="M122" i="42"/>
  <c r="M123" i="42"/>
  <c r="M124" i="42"/>
  <c r="M125" i="42"/>
  <c r="M126" i="42"/>
  <c r="M127" i="42"/>
  <c r="M128" i="42"/>
  <c r="M129" i="42"/>
  <c r="M130" i="42"/>
  <c r="M131" i="42"/>
  <c r="M132" i="42"/>
  <c r="M133" i="42"/>
  <c r="M134" i="42"/>
  <c r="M135" i="42"/>
  <c r="M136" i="42"/>
  <c r="M137" i="42"/>
  <c r="M138" i="42"/>
  <c r="M139" i="42"/>
  <c r="M140" i="42"/>
  <c r="M141" i="42"/>
  <c r="M142" i="42"/>
  <c r="M143" i="42"/>
  <c r="M144" i="42"/>
  <c r="M145" i="42"/>
  <c r="M146" i="42"/>
  <c r="M147" i="42"/>
  <c r="M148" i="42"/>
  <c r="M149" i="42"/>
  <c r="M150" i="42"/>
  <c r="M151" i="42"/>
  <c r="M152" i="42"/>
  <c r="M153" i="42"/>
  <c r="M154" i="42"/>
  <c r="M155" i="42"/>
  <c r="M156" i="42"/>
  <c r="M157" i="42"/>
  <c r="M158" i="42"/>
  <c r="M159" i="42"/>
  <c r="M160" i="42"/>
  <c r="M161" i="42"/>
  <c r="M162" i="42"/>
  <c r="M163" i="42"/>
  <c r="M164" i="42"/>
  <c r="M165" i="42"/>
  <c r="M166" i="42"/>
  <c r="M167" i="42"/>
  <c r="M168" i="42"/>
  <c r="M169" i="42"/>
  <c r="M170" i="42"/>
  <c r="M171" i="42"/>
  <c r="M172" i="42"/>
  <c r="M173" i="42"/>
  <c r="M174" i="42"/>
  <c r="M175" i="42"/>
  <c r="M176" i="42"/>
  <c r="M177" i="42"/>
  <c r="M178" i="42"/>
  <c r="M179" i="42"/>
  <c r="M180" i="42"/>
  <c r="M181" i="42"/>
  <c r="M182" i="42"/>
  <c r="M183" i="42"/>
  <c r="M184" i="42"/>
  <c r="M185" i="42"/>
  <c r="M186" i="42"/>
  <c r="M187" i="42"/>
  <c r="M188" i="42"/>
  <c r="M189" i="42"/>
  <c r="M190" i="42"/>
  <c r="M191" i="42"/>
  <c r="M192" i="42"/>
  <c r="M193" i="42"/>
  <c r="M194" i="42"/>
  <c r="M195" i="42"/>
  <c r="M196" i="42"/>
  <c r="M197" i="42"/>
  <c r="M198" i="42"/>
  <c r="M199" i="42"/>
  <c r="M200" i="42"/>
  <c r="M201" i="42"/>
  <c r="M202" i="42"/>
  <c r="M203" i="42"/>
  <c r="M204" i="42"/>
  <c r="M205" i="42"/>
  <c r="M206" i="42"/>
  <c r="M207" i="42"/>
  <c r="M208" i="42"/>
  <c r="M209" i="42"/>
  <c r="M210" i="42"/>
  <c r="M211" i="42"/>
  <c r="M212" i="42"/>
  <c r="M213" i="42"/>
  <c r="M214" i="42"/>
  <c r="M215" i="42"/>
  <c r="M216" i="42"/>
  <c r="M217" i="42"/>
  <c r="M218" i="42"/>
  <c r="M219" i="42"/>
  <c r="M220" i="42"/>
  <c r="M221" i="42"/>
  <c r="M222" i="42"/>
  <c r="M223" i="42"/>
  <c r="M224" i="42"/>
  <c r="M225" i="42"/>
  <c r="M226" i="42"/>
  <c r="M227" i="42"/>
  <c r="M228" i="42"/>
  <c r="M229" i="42"/>
  <c r="M230" i="42"/>
  <c r="M231" i="42"/>
  <c r="M232" i="42"/>
  <c r="M233" i="42"/>
  <c r="M234" i="42"/>
  <c r="M235" i="42"/>
  <c r="M236" i="42"/>
  <c r="M237" i="42"/>
  <c r="M238" i="42"/>
  <c r="M239" i="42"/>
  <c r="M240" i="42"/>
  <c r="M241" i="42"/>
  <c r="M242" i="42"/>
  <c r="M243" i="42"/>
  <c r="M244" i="42"/>
  <c r="M245" i="42"/>
  <c r="M246" i="42"/>
  <c r="M247" i="42"/>
  <c r="M248" i="42"/>
  <c r="M249" i="42"/>
  <c r="M250" i="42"/>
  <c r="M251" i="42"/>
  <c r="M252" i="42"/>
  <c r="M253" i="42"/>
  <c r="M254" i="42"/>
  <c r="M255" i="42"/>
  <c r="M256" i="42"/>
  <c r="M257" i="42"/>
  <c r="M258" i="42"/>
  <c r="G118" i="38" l="1"/>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36" i="38"/>
  <c r="H35" i="38"/>
  <c r="H34" i="38"/>
  <c r="F113" i="38"/>
  <c r="G113" i="38"/>
  <c r="G117" i="38" s="1"/>
  <c r="F259" i="42"/>
  <c r="K258" i="42"/>
  <c r="I258" i="42"/>
  <c r="K257" i="42"/>
  <c r="I257" i="42"/>
  <c r="K256" i="42"/>
  <c r="I256" i="42"/>
  <c r="K255" i="42"/>
  <c r="I255" i="42"/>
  <c r="K254" i="42"/>
  <c r="I254" i="42"/>
  <c r="K253" i="42"/>
  <c r="I253" i="42"/>
  <c r="K252" i="42"/>
  <c r="I252" i="42"/>
  <c r="K251" i="42"/>
  <c r="I251" i="42"/>
  <c r="K250" i="42"/>
  <c r="I250" i="42"/>
  <c r="K249" i="42"/>
  <c r="I249" i="42"/>
  <c r="K248" i="42"/>
  <c r="I248" i="42"/>
  <c r="K247" i="42"/>
  <c r="I247" i="42"/>
  <c r="K246" i="42"/>
  <c r="I246" i="42"/>
  <c r="K245" i="42"/>
  <c r="I245" i="42"/>
  <c r="K244" i="42"/>
  <c r="I244" i="42"/>
  <c r="K243" i="42"/>
  <c r="I243" i="42"/>
  <c r="K242" i="42"/>
  <c r="I242" i="42"/>
  <c r="K241" i="42"/>
  <c r="I241" i="42"/>
  <c r="K240" i="42"/>
  <c r="I240" i="42"/>
  <c r="K239" i="42"/>
  <c r="I239" i="42"/>
  <c r="K238" i="42"/>
  <c r="I238" i="42"/>
  <c r="K237" i="42"/>
  <c r="I237" i="42"/>
  <c r="K236" i="42"/>
  <c r="I236" i="42"/>
  <c r="K235" i="42"/>
  <c r="I235" i="42"/>
  <c r="K234" i="42"/>
  <c r="I234" i="42"/>
  <c r="K233" i="42"/>
  <c r="I233" i="42"/>
  <c r="K232" i="42"/>
  <c r="I232" i="42"/>
  <c r="K231" i="42"/>
  <c r="I231" i="42"/>
  <c r="K230" i="42"/>
  <c r="I230" i="42"/>
  <c r="K229" i="42"/>
  <c r="I229" i="42"/>
  <c r="K228" i="42"/>
  <c r="I228" i="42"/>
  <c r="K227" i="42"/>
  <c r="I227" i="42"/>
  <c r="K226" i="42"/>
  <c r="I226" i="42"/>
  <c r="K225" i="42"/>
  <c r="I225" i="42"/>
  <c r="K224" i="42"/>
  <c r="I224" i="42"/>
  <c r="K223" i="42"/>
  <c r="I223" i="42"/>
  <c r="K222" i="42"/>
  <c r="I222" i="42"/>
  <c r="K221" i="42"/>
  <c r="I221" i="42"/>
  <c r="K220" i="42"/>
  <c r="I220" i="42"/>
  <c r="K219" i="42"/>
  <c r="I219" i="42"/>
  <c r="K218" i="42"/>
  <c r="I218" i="42"/>
  <c r="K217" i="42"/>
  <c r="I217" i="42"/>
  <c r="K216" i="42"/>
  <c r="I216" i="42"/>
  <c r="K215" i="42"/>
  <c r="I215" i="42"/>
  <c r="K214" i="42"/>
  <c r="I214" i="42"/>
  <c r="K213" i="42"/>
  <c r="I213" i="42"/>
  <c r="K212" i="42"/>
  <c r="I212" i="42"/>
  <c r="K211" i="42"/>
  <c r="I211" i="42"/>
  <c r="K210" i="42"/>
  <c r="I210" i="42"/>
  <c r="K209" i="42"/>
  <c r="I209" i="42"/>
  <c r="K208" i="42"/>
  <c r="I208" i="42"/>
  <c r="K207" i="42"/>
  <c r="I207" i="42"/>
  <c r="K206" i="42"/>
  <c r="I206" i="42"/>
  <c r="K205" i="42"/>
  <c r="I205" i="42"/>
  <c r="K204" i="42"/>
  <c r="I204" i="42"/>
  <c r="K203" i="42"/>
  <c r="I203" i="42"/>
  <c r="K202" i="42"/>
  <c r="I202" i="42"/>
  <c r="K201" i="42"/>
  <c r="I201" i="42"/>
  <c r="K200" i="42"/>
  <c r="I200" i="42"/>
  <c r="K199" i="42"/>
  <c r="I199" i="42"/>
  <c r="K198" i="42"/>
  <c r="I198" i="42"/>
  <c r="K197" i="42"/>
  <c r="I197" i="42"/>
  <c r="K196" i="42"/>
  <c r="I196" i="42"/>
  <c r="K195" i="42"/>
  <c r="I195" i="42"/>
  <c r="K194" i="42"/>
  <c r="I194" i="42"/>
  <c r="K193" i="42"/>
  <c r="I193" i="42"/>
  <c r="K192" i="42"/>
  <c r="I192" i="42"/>
  <c r="K191" i="42"/>
  <c r="I191" i="42"/>
  <c r="K190" i="42"/>
  <c r="I190" i="42"/>
  <c r="K189" i="42"/>
  <c r="I189" i="42"/>
  <c r="K188" i="42"/>
  <c r="I188" i="42"/>
  <c r="K187" i="42"/>
  <c r="I187" i="42"/>
  <c r="K186" i="42"/>
  <c r="I186" i="42"/>
  <c r="K185" i="42"/>
  <c r="I185" i="42"/>
  <c r="K184" i="42"/>
  <c r="I184" i="42"/>
  <c r="K183" i="42"/>
  <c r="I183" i="42"/>
  <c r="K182" i="42"/>
  <c r="I182" i="42"/>
  <c r="K181" i="42"/>
  <c r="I181" i="42"/>
  <c r="K180" i="42"/>
  <c r="I180" i="42"/>
  <c r="K179" i="42"/>
  <c r="I179" i="42"/>
  <c r="K178" i="42"/>
  <c r="I178" i="42"/>
  <c r="K177" i="42"/>
  <c r="I177" i="42"/>
  <c r="K176" i="42"/>
  <c r="I176" i="42"/>
  <c r="K175" i="42"/>
  <c r="I175" i="42"/>
  <c r="K174" i="42"/>
  <c r="I174" i="42"/>
  <c r="K173" i="42"/>
  <c r="I173" i="42"/>
  <c r="K172" i="42"/>
  <c r="I172" i="42"/>
  <c r="K171" i="42"/>
  <c r="I171" i="42"/>
  <c r="K170" i="42"/>
  <c r="I170" i="42"/>
  <c r="K169" i="42"/>
  <c r="I169" i="42"/>
  <c r="K168" i="42"/>
  <c r="I168" i="42"/>
  <c r="K167" i="42"/>
  <c r="I167" i="42"/>
  <c r="K166" i="42"/>
  <c r="I166" i="42"/>
  <c r="K165" i="42"/>
  <c r="I165" i="42"/>
  <c r="K164" i="42"/>
  <c r="I164" i="42"/>
  <c r="K163" i="42"/>
  <c r="I163" i="42"/>
  <c r="K162" i="42"/>
  <c r="I162" i="42"/>
  <c r="K161" i="42"/>
  <c r="I161" i="42"/>
  <c r="K160" i="42"/>
  <c r="I160" i="42"/>
  <c r="K159" i="42"/>
  <c r="I159" i="42"/>
  <c r="K158" i="42"/>
  <c r="I158" i="42"/>
  <c r="K157" i="42"/>
  <c r="I157" i="42"/>
  <c r="K156" i="42"/>
  <c r="I156" i="42"/>
  <c r="K155" i="42"/>
  <c r="I155" i="42"/>
  <c r="K154" i="42"/>
  <c r="I154" i="42"/>
  <c r="K153" i="42"/>
  <c r="I153" i="42"/>
  <c r="K152" i="42"/>
  <c r="I152" i="42"/>
  <c r="K151" i="42"/>
  <c r="I151" i="42"/>
  <c r="K150" i="42"/>
  <c r="I150" i="42"/>
  <c r="K149" i="42"/>
  <c r="I149" i="42"/>
  <c r="K148" i="42"/>
  <c r="I148" i="42"/>
  <c r="K147" i="42"/>
  <c r="I147" i="42"/>
  <c r="K146" i="42"/>
  <c r="I146" i="42"/>
  <c r="K145" i="42"/>
  <c r="I145" i="42"/>
  <c r="K144" i="42"/>
  <c r="I144" i="42"/>
  <c r="K143" i="42"/>
  <c r="I143" i="42"/>
  <c r="K142" i="42"/>
  <c r="I142" i="42"/>
  <c r="K141" i="42"/>
  <c r="I141" i="42"/>
  <c r="K140" i="42"/>
  <c r="I140" i="42"/>
  <c r="K139" i="42"/>
  <c r="I139" i="42"/>
  <c r="K138" i="42"/>
  <c r="I138" i="42"/>
  <c r="K137" i="42"/>
  <c r="I137" i="42"/>
  <c r="K136" i="42"/>
  <c r="I136" i="42"/>
  <c r="K135" i="42"/>
  <c r="I135" i="42"/>
  <c r="K134" i="42"/>
  <c r="I134" i="42"/>
  <c r="K133" i="42"/>
  <c r="I133" i="42"/>
  <c r="K132" i="42"/>
  <c r="I132" i="42"/>
  <c r="K131" i="42"/>
  <c r="I131" i="42"/>
  <c r="K130" i="42"/>
  <c r="I130" i="42"/>
  <c r="K129" i="42"/>
  <c r="I129" i="42"/>
  <c r="K128" i="42"/>
  <c r="I128" i="42"/>
  <c r="K127" i="42"/>
  <c r="I127" i="42"/>
  <c r="K126" i="42"/>
  <c r="I126" i="42"/>
  <c r="K125" i="42"/>
  <c r="I125" i="42"/>
  <c r="K124" i="42"/>
  <c r="I124" i="42"/>
  <c r="K123" i="42"/>
  <c r="I123" i="42"/>
  <c r="K122" i="42"/>
  <c r="I122" i="42"/>
  <c r="K121" i="42"/>
  <c r="I121" i="42"/>
  <c r="K120" i="42"/>
  <c r="I120" i="42"/>
  <c r="K119" i="42"/>
  <c r="I119" i="42"/>
  <c r="K118" i="42"/>
  <c r="I118" i="42"/>
  <c r="K117" i="42"/>
  <c r="I117" i="42"/>
  <c r="K116" i="42"/>
  <c r="I116" i="42"/>
  <c r="K115" i="42"/>
  <c r="I115" i="42"/>
  <c r="K114" i="42"/>
  <c r="I114" i="42"/>
  <c r="K113" i="42"/>
  <c r="I113" i="42"/>
  <c r="K112" i="42"/>
  <c r="I112" i="42"/>
  <c r="K111" i="42"/>
  <c r="I111" i="42"/>
  <c r="K110" i="42"/>
  <c r="I110" i="42"/>
  <c r="K109" i="42"/>
  <c r="I109" i="42"/>
  <c r="K108" i="42"/>
  <c r="I108" i="42"/>
  <c r="K107" i="42"/>
  <c r="I107" i="42"/>
  <c r="K106" i="42"/>
  <c r="I106" i="42"/>
  <c r="K105" i="42"/>
  <c r="I105" i="42"/>
  <c r="K104" i="42"/>
  <c r="I104" i="42"/>
  <c r="K103" i="42"/>
  <c r="I103" i="42"/>
  <c r="K102" i="42"/>
  <c r="I102" i="42"/>
  <c r="K101" i="42"/>
  <c r="I101" i="42"/>
  <c r="K100" i="42"/>
  <c r="I100" i="42"/>
  <c r="K99" i="42"/>
  <c r="I99" i="42"/>
  <c r="K98" i="42"/>
  <c r="I98" i="42"/>
  <c r="K97" i="42"/>
  <c r="I97" i="42"/>
  <c r="K96" i="42"/>
  <c r="I96" i="42"/>
  <c r="K95" i="42"/>
  <c r="I95" i="42"/>
  <c r="K94" i="42"/>
  <c r="I94" i="42"/>
  <c r="K93" i="42"/>
  <c r="I93" i="42"/>
  <c r="K92" i="42"/>
  <c r="I92" i="42"/>
  <c r="K91" i="42"/>
  <c r="I91" i="42"/>
  <c r="K90" i="42"/>
  <c r="I90" i="42"/>
  <c r="K89" i="42"/>
  <c r="I89" i="42"/>
  <c r="K88" i="42"/>
  <c r="I88" i="42"/>
  <c r="K87" i="42"/>
  <c r="I87" i="42"/>
  <c r="K86" i="42"/>
  <c r="I86" i="42"/>
  <c r="K85" i="42"/>
  <c r="I85" i="42"/>
  <c r="K84" i="42"/>
  <c r="I84" i="42"/>
  <c r="K83" i="42"/>
  <c r="I83" i="42"/>
  <c r="K82" i="42"/>
  <c r="I82" i="42"/>
  <c r="K81" i="42"/>
  <c r="I81" i="42"/>
  <c r="K80" i="42"/>
  <c r="I80" i="42"/>
  <c r="K79" i="42"/>
  <c r="I79" i="42"/>
  <c r="K78" i="42"/>
  <c r="I78" i="42"/>
  <c r="K77" i="42"/>
  <c r="I77" i="42"/>
  <c r="K76" i="42"/>
  <c r="I76" i="42"/>
  <c r="K75" i="42"/>
  <c r="I75" i="42"/>
  <c r="K74" i="42"/>
  <c r="I74" i="42"/>
  <c r="K73" i="42"/>
  <c r="I73" i="42"/>
  <c r="K72" i="42"/>
  <c r="I72" i="42"/>
  <c r="K71" i="42"/>
  <c r="I71" i="42"/>
  <c r="K70" i="42"/>
  <c r="I70" i="42"/>
  <c r="K69" i="42"/>
  <c r="I69" i="42"/>
  <c r="K68" i="42"/>
  <c r="I68" i="42"/>
  <c r="K67" i="42"/>
  <c r="I67" i="42"/>
  <c r="K66" i="42"/>
  <c r="I66" i="42"/>
  <c r="K65" i="42"/>
  <c r="I65" i="42"/>
  <c r="K64" i="42"/>
  <c r="I64" i="42"/>
  <c r="K63" i="42"/>
  <c r="I63" i="42"/>
  <c r="K62" i="42"/>
  <c r="I62" i="42"/>
  <c r="K61" i="42"/>
  <c r="I61" i="42"/>
  <c r="R148" i="34" s="1"/>
  <c r="K60" i="42"/>
  <c r="I60" i="42"/>
  <c r="R147" i="34" s="1"/>
  <c r="K59" i="42"/>
  <c r="I59" i="42"/>
  <c r="Z58" i="35"/>
  <c r="V58" i="35"/>
  <c r="U58" i="35"/>
  <c r="T58" i="35"/>
  <c r="S58" i="35"/>
  <c r="R58" i="35"/>
  <c r="Q58" i="35"/>
  <c r="P58" i="35"/>
  <c r="O58" i="35"/>
  <c r="N58" i="35"/>
  <c r="M58" i="35"/>
  <c r="L58" i="35"/>
  <c r="K58" i="35"/>
  <c r="J58" i="35"/>
  <c r="I58" i="35"/>
  <c r="H58" i="35"/>
  <c r="G58" i="35"/>
  <c r="F58" i="35"/>
  <c r="E58" i="35"/>
  <c r="Z136" i="35"/>
  <c r="V136" i="35"/>
  <c r="U136" i="35"/>
  <c r="T136" i="35"/>
  <c r="S136" i="35"/>
  <c r="R136" i="35"/>
  <c r="Q136" i="35"/>
  <c r="P136" i="35"/>
  <c r="O136" i="35"/>
  <c r="N136" i="35"/>
  <c r="M136" i="35"/>
  <c r="L136" i="35"/>
  <c r="K136" i="35"/>
  <c r="J136" i="35"/>
  <c r="I136" i="35"/>
  <c r="H136" i="35"/>
  <c r="G136" i="35"/>
  <c r="F136" i="35"/>
  <c r="Z183" i="35"/>
  <c r="Z137" i="35" s="1"/>
  <c r="V183" i="35"/>
  <c r="V137" i="35" s="1"/>
  <c r="V135" i="35" s="1"/>
  <c r="U183" i="35"/>
  <c r="U137" i="35" s="1"/>
  <c r="U135" i="35" s="1"/>
  <c r="T183" i="35"/>
  <c r="T137" i="35" s="1"/>
  <c r="T135" i="35" s="1"/>
  <c r="S183" i="35"/>
  <c r="S137" i="35" s="1"/>
  <c r="R183" i="35"/>
  <c r="R137" i="35" s="1"/>
  <c r="Q183" i="35"/>
  <c r="Q137" i="35" s="1"/>
  <c r="P183" i="35"/>
  <c r="P137" i="35" s="1"/>
  <c r="O183" i="35"/>
  <c r="O137" i="35" s="1"/>
  <c r="N183" i="35"/>
  <c r="N137" i="35" s="1"/>
  <c r="N135" i="35" s="1"/>
  <c r="M183" i="35"/>
  <c r="M137" i="35" s="1"/>
  <c r="M135" i="35" s="1"/>
  <c r="L183" i="35"/>
  <c r="L137" i="35" s="1"/>
  <c r="L135" i="35" s="1"/>
  <c r="K183" i="35"/>
  <c r="K137" i="35" s="1"/>
  <c r="J183" i="35"/>
  <c r="J137" i="35" s="1"/>
  <c r="I183" i="35"/>
  <c r="I137" i="35" s="1"/>
  <c r="H183" i="35"/>
  <c r="H137" i="35" s="1"/>
  <c r="G183" i="35"/>
  <c r="G137" i="35" s="1"/>
  <c r="F183" i="35"/>
  <c r="F137" i="35" s="1"/>
  <c r="F135" i="35" s="1"/>
  <c r="E183" i="35"/>
  <c r="R135" i="35" l="1"/>
  <c r="G135" i="35"/>
  <c r="O135" i="35"/>
  <c r="Z135" i="35"/>
  <c r="J135" i="35"/>
  <c r="K135" i="35"/>
  <c r="S135" i="35"/>
  <c r="I135" i="35"/>
  <c r="Q135" i="35"/>
  <c r="H135" i="35"/>
  <c r="P135" i="35"/>
  <c r="I259" i="42"/>
  <c r="G259" i="42" s="1"/>
  <c r="K259" i="42"/>
  <c r="H259" i="42" s="1"/>
  <c r="U265" i="34" l="1"/>
  <c r="B8" i="9" l="1"/>
  <c r="D267" i="34" l="1"/>
  <c r="B27" i="10" l="1"/>
  <c r="B7" i="10" l="1"/>
  <c r="G151" i="35" l="1"/>
  <c r="F151" i="35"/>
  <c r="E151" i="35"/>
  <c r="G145" i="35"/>
  <c r="F145" i="35"/>
  <c r="E145" i="35"/>
  <c r="G183" i="34" l="1"/>
  <c r="H183" i="34" s="1"/>
  <c r="J183" i="34" s="1"/>
  <c r="G184" i="34"/>
  <c r="H184" i="34" s="1"/>
  <c r="K184" i="34" s="1"/>
  <c r="G198" i="34"/>
  <c r="H198" i="34" s="1"/>
  <c r="G199" i="34"/>
  <c r="H199" i="34" s="1"/>
  <c r="G182" i="34"/>
  <c r="H182" i="34" s="1"/>
  <c r="K199" i="34"/>
  <c r="J199" i="34"/>
  <c r="K198" i="34"/>
  <c r="J198" i="34"/>
  <c r="K197" i="34"/>
  <c r="J197" i="34"/>
  <c r="K196" i="34"/>
  <c r="J196" i="34"/>
  <c r="K195" i="34"/>
  <c r="J195" i="34"/>
  <c r="K194" i="34"/>
  <c r="J194" i="34"/>
  <c r="K193" i="34"/>
  <c r="J193" i="34"/>
  <c r="K192" i="34"/>
  <c r="J192" i="34"/>
  <c r="K191" i="34"/>
  <c r="J191" i="34"/>
  <c r="D183" i="34"/>
  <c r="D184" i="34" s="1"/>
  <c r="D185" i="34" s="1"/>
  <c r="I181" i="34"/>
  <c r="H181" i="34"/>
  <c r="E181" i="34"/>
  <c r="D181" i="34"/>
  <c r="D186" i="34" l="1"/>
  <c r="D187" i="34" s="1"/>
  <c r="D188" i="34" s="1"/>
  <c r="D189" i="34" s="1"/>
  <c r="D190" i="34" s="1"/>
  <c r="D191" i="34" s="1"/>
  <c r="D192" i="34" s="1"/>
  <c r="D193" i="34" s="1"/>
  <c r="D194" i="34" s="1"/>
  <c r="K182" i="34"/>
  <c r="J182" i="34"/>
  <c r="J184" i="34"/>
  <c r="K183" i="34"/>
  <c r="K19" i="43"/>
  <c r="K20" i="43"/>
  <c r="K21" i="43"/>
  <c r="K22" i="43"/>
  <c r="K23" i="43"/>
  <c r="K24" i="43"/>
  <c r="K25" i="43"/>
  <c r="K18" i="43"/>
  <c r="D10" i="43"/>
  <c r="O71" i="42"/>
  <c r="O72" i="42"/>
  <c r="O73" i="42"/>
  <c r="O74" i="42"/>
  <c r="O75" i="42"/>
  <c r="O77" i="42"/>
  <c r="O78" i="42"/>
  <c r="O79" i="42"/>
  <c r="O80" i="42"/>
  <c r="O81" i="42"/>
  <c r="O82" i="42"/>
  <c r="O83" i="42"/>
  <c r="O84" i="42"/>
  <c r="O85" i="42"/>
  <c r="O86" i="42"/>
  <c r="O87" i="42"/>
  <c r="O88" i="42"/>
  <c r="O89" i="42"/>
  <c r="O90" i="42"/>
  <c r="O91" i="42"/>
  <c r="O92" i="42"/>
  <c r="O93" i="42"/>
  <c r="O94" i="42"/>
  <c r="O95" i="42"/>
  <c r="O96" i="42"/>
  <c r="O97" i="42"/>
  <c r="O98" i="42"/>
  <c r="O99" i="42"/>
  <c r="O100" i="42"/>
  <c r="O101" i="42"/>
  <c r="O102" i="42"/>
  <c r="O103" i="42"/>
  <c r="O104" i="42"/>
  <c r="O105" i="42"/>
  <c r="O106" i="42"/>
  <c r="O107" i="42"/>
  <c r="O108" i="42"/>
  <c r="O109" i="42"/>
  <c r="O110" i="42"/>
  <c r="O111" i="42"/>
  <c r="O112" i="42"/>
  <c r="O113" i="42"/>
  <c r="O114" i="42"/>
  <c r="O115" i="42"/>
  <c r="O116" i="42"/>
  <c r="O117" i="42"/>
  <c r="O118" i="42"/>
  <c r="O119" i="42"/>
  <c r="O120" i="42"/>
  <c r="O121" i="42"/>
  <c r="O122" i="42"/>
  <c r="O123" i="42"/>
  <c r="O124" i="42"/>
  <c r="O125" i="42"/>
  <c r="O126" i="42"/>
  <c r="O127" i="42"/>
  <c r="O128" i="42"/>
  <c r="O129" i="42"/>
  <c r="O130" i="42"/>
  <c r="O131" i="42"/>
  <c r="O132" i="42"/>
  <c r="O133" i="42"/>
  <c r="O134" i="42"/>
  <c r="O135" i="42"/>
  <c r="O136" i="42"/>
  <c r="O137" i="42"/>
  <c r="O138" i="42"/>
  <c r="O139" i="42"/>
  <c r="O140" i="42"/>
  <c r="O141" i="42"/>
  <c r="O142" i="42"/>
  <c r="O143" i="42"/>
  <c r="O144" i="42"/>
  <c r="O145" i="42"/>
  <c r="O146" i="42"/>
  <c r="O147" i="42"/>
  <c r="O148" i="42"/>
  <c r="O149" i="42"/>
  <c r="O150" i="42"/>
  <c r="O151" i="42"/>
  <c r="O152" i="42"/>
  <c r="O153" i="42"/>
  <c r="O154" i="42"/>
  <c r="O155" i="42"/>
  <c r="O156" i="42"/>
  <c r="O157" i="42"/>
  <c r="O158" i="42"/>
  <c r="O159" i="42"/>
  <c r="O160" i="42"/>
  <c r="O161" i="42"/>
  <c r="O162" i="42"/>
  <c r="O163" i="42"/>
  <c r="O164" i="42"/>
  <c r="O165" i="42"/>
  <c r="O166" i="42"/>
  <c r="O167" i="42"/>
  <c r="O168" i="42"/>
  <c r="O169" i="42"/>
  <c r="O170" i="42"/>
  <c r="O171" i="42"/>
  <c r="O172" i="42"/>
  <c r="O173" i="42"/>
  <c r="O174" i="42"/>
  <c r="O175" i="42"/>
  <c r="O176" i="42"/>
  <c r="O177" i="42"/>
  <c r="O178" i="42"/>
  <c r="O179" i="42"/>
  <c r="O180" i="42"/>
  <c r="O181" i="42"/>
  <c r="O182" i="42"/>
  <c r="O183" i="42"/>
  <c r="O184" i="42"/>
  <c r="O185" i="42"/>
  <c r="O186" i="42"/>
  <c r="O187" i="42"/>
  <c r="O188" i="42"/>
  <c r="O189" i="42"/>
  <c r="O190" i="42"/>
  <c r="O191" i="42"/>
  <c r="O192" i="42"/>
  <c r="O193" i="42"/>
  <c r="O194" i="42"/>
  <c r="O195" i="42"/>
  <c r="O196" i="42"/>
  <c r="O197" i="42"/>
  <c r="O198" i="42"/>
  <c r="O199" i="42"/>
  <c r="O200" i="42"/>
  <c r="O201" i="42"/>
  <c r="O202" i="42"/>
  <c r="O203" i="42"/>
  <c r="O204" i="42"/>
  <c r="O205" i="42"/>
  <c r="O206" i="42"/>
  <c r="O207" i="42"/>
  <c r="O208" i="42"/>
  <c r="O209" i="42"/>
  <c r="O210" i="42"/>
  <c r="O211" i="42"/>
  <c r="O212" i="42"/>
  <c r="O213" i="42"/>
  <c r="O214" i="42"/>
  <c r="O215" i="42"/>
  <c r="O216" i="42"/>
  <c r="O217" i="42"/>
  <c r="O218" i="42"/>
  <c r="O219" i="42"/>
  <c r="O220" i="42"/>
  <c r="O221" i="42"/>
  <c r="O222" i="42"/>
  <c r="O223" i="42"/>
  <c r="O224" i="42"/>
  <c r="O225" i="42"/>
  <c r="O226" i="42"/>
  <c r="O227" i="42"/>
  <c r="O228" i="42"/>
  <c r="O229" i="42"/>
  <c r="O230" i="42"/>
  <c r="O231" i="42"/>
  <c r="O232" i="42"/>
  <c r="O233" i="42"/>
  <c r="O234" i="42"/>
  <c r="O235" i="42"/>
  <c r="O236" i="42"/>
  <c r="O237" i="42"/>
  <c r="O238" i="42"/>
  <c r="O239" i="42"/>
  <c r="O240" i="42"/>
  <c r="O241" i="42"/>
  <c r="O242" i="42"/>
  <c r="O243" i="42"/>
  <c r="O244" i="42"/>
  <c r="O245" i="42"/>
  <c r="O246" i="42"/>
  <c r="O247" i="42"/>
  <c r="O248" i="42"/>
  <c r="O249" i="42"/>
  <c r="O250" i="42"/>
  <c r="O251" i="42"/>
  <c r="O252" i="42"/>
  <c r="O253" i="42"/>
  <c r="O254" i="42"/>
  <c r="O255" i="42"/>
  <c r="O256" i="42"/>
  <c r="O257" i="42"/>
  <c r="O258" i="42"/>
  <c r="AC94" i="35"/>
  <c r="C122" i="35"/>
  <c r="Z14" i="35"/>
  <c r="F195" i="35"/>
  <c r="F196" i="35" s="1"/>
  <c r="G195" i="35"/>
  <c r="G196" i="35" s="1"/>
  <c r="U195" i="35"/>
  <c r="V195" i="35"/>
  <c r="E195" i="35"/>
  <c r="E196" i="35" s="1"/>
  <c r="U194" i="35"/>
  <c r="V194" i="35"/>
  <c r="D195" i="34" l="1"/>
  <c r="D196" i="34" s="1"/>
  <c r="W87" i="34"/>
  <c r="X87" i="34"/>
  <c r="Y87" i="34"/>
  <c r="W88" i="34"/>
  <c r="X88" i="34"/>
  <c r="Y88" i="34"/>
  <c r="W89" i="34"/>
  <c r="X89" i="34"/>
  <c r="Y89" i="34"/>
  <c r="W90" i="34"/>
  <c r="X90" i="34"/>
  <c r="Y90" i="34"/>
  <c r="W91" i="34"/>
  <c r="X91" i="34"/>
  <c r="Y91" i="34"/>
  <c r="W92" i="34"/>
  <c r="X92" i="34"/>
  <c r="Y92" i="34"/>
  <c r="W93" i="34"/>
  <c r="X93" i="34"/>
  <c r="Y93" i="34"/>
  <c r="W94" i="34"/>
  <c r="X94" i="34"/>
  <c r="Y94" i="34"/>
  <c r="W95" i="34"/>
  <c r="X95" i="34"/>
  <c r="Y95" i="34"/>
  <c r="W96" i="34"/>
  <c r="X96" i="34"/>
  <c r="Y96" i="34"/>
  <c r="W97" i="34"/>
  <c r="X97" i="34"/>
  <c r="Y97" i="34"/>
  <c r="W98" i="34"/>
  <c r="X98" i="34"/>
  <c r="Y98" i="34"/>
  <c r="W99" i="34"/>
  <c r="X99" i="34"/>
  <c r="Y99" i="34"/>
  <c r="W100" i="34"/>
  <c r="X100" i="34"/>
  <c r="Y100" i="34"/>
  <c r="Y86" i="34"/>
  <c r="X86" i="34"/>
  <c r="W86" i="34"/>
  <c r="D197" i="34" l="1"/>
  <c r="AC80" i="34"/>
  <c r="D198" i="34" l="1"/>
  <c r="U100" i="34"/>
  <c r="U99" i="34"/>
  <c r="AB87" i="34"/>
  <c r="AB88" i="34" s="1"/>
  <c r="AB89" i="34" s="1"/>
  <c r="E944" i="17"/>
  <c r="D944" i="17"/>
  <c r="D199" i="34" l="1"/>
  <c r="U191" i="35"/>
  <c r="V191" i="35"/>
  <c r="AB90" i="34"/>
  <c r="AB91" i="34" l="1"/>
  <c r="AB92" i="34" l="1"/>
  <c r="V100" i="34"/>
  <c r="E199" i="34" s="1"/>
  <c r="V193" i="35" l="1"/>
  <c r="AB93" i="34"/>
  <c r="V92" i="34"/>
  <c r="V93" i="34"/>
  <c r="V95" i="34"/>
  <c r="E194" i="34" s="1"/>
  <c r="V96" i="34"/>
  <c r="V97" i="34"/>
  <c r="E196" i="34" s="1"/>
  <c r="V98" i="34"/>
  <c r="E197" i="34" s="1"/>
  <c r="V145" i="35" l="1"/>
  <c r="V151" i="35"/>
  <c r="Q193" i="35"/>
  <c r="R193" i="35"/>
  <c r="N193" i="35"/>
  <c r="S193" i="35"/>
  <c r="O193" i="35"/>
  <c r="T193" i="35"/>
  <c r="AB94" i="34"/>
  <c r="D235" i="34"/>
  <c r="E136" i="35"/>
  <c r="E137" i="35"/>
  <c r="E135" i="35" s="1"/>
  <c r="Z123" i="35"/>
  <c r="Z17" i="35" s="1"/>
  <c r="E91" i="35"/>
  <c r="E16" i="35" s="1"/>
  <c r="U14" i="35"/>
  <c r="V14" i="35"/>
  <c r="R151" i="35" l="1"/>
  <c r="R145" i="35"/>
  <c r="Q145" i="35"/>
  <c r="Q151" i="35"/>
  <c r="S151" i="35"/>
  <c r="S145" i="35"/>
  <c r="N151" i="35"/>
  <c r="N145" i="35"/>
  <c r="T145" i="35"/>
  <c r="T151" i="35"/>
  <c r="O151" i="35"/>
  <c r="O145" i="35"/>
  <c r="AB95" i="34"/>
  <c r="P123" i="35"/>
  <c r="P17" i="35" s="1"/>
  <c r="O123" i="35"/>
  <c r="O17" i="35" s="1"/>
  <c r="N123" i="35"/>
  <c r="N17" i="35" s="1"/>
  <c r="M123" i="35"/>
  <c r="M17" i="35" s="1"/>
  <c r="L123" i="35"/>
  <c r="L17" i="35" s="1"/>
  <c r="K123" i="35"/>
  <c r="K17" i="35" s="1"/>
  <c r="J123" i="35"/>
  <c r="J17" i="35" s="1"/>
  <c r="I123" i="35"/>
  <c r="I17" i="35" s="1"/>
  <c r="P91" i="35"/>
  <c r="P16" i="35" s="1"/>
  <c r="O91" i="35"/>
  <c r="O16" i="35" s="1"/>
  <c r="N91" i="35"/>
  <c r="N16" i="35" s="1"/>
  <c r="M91" i="35"/>
  <c r="M16" i="35" s="1"/>
  <c r="L91" i="35"/>
  <c r="L16" i="35" s="1"/>
  <c r="K91" i="35"/>
  <c r="K16" i="35" s="1"/>
  <c r="J91" i="35"/>
  <c r="J16" i="35" s="1"/>
  <c r="I91" i="35"/>
  <c r="I16" i="35" s="1"/>
  <c r="P14" i="35"/>
  <c r="O14" i="35"/>
  <c r="N14" i="35"/>
  <c r="M14" i="35"/>
  <c r="L14" i="35"/>
  <c r="K14" i="35"/>
  <c r="J14" i="35"/>
  <c r="I14" i="35"/>
  <c r="T123" i="35"/>
  <c r="T17" i="35" s="1"/>
  <c r="S123" i="35"/>
  <c r="S17" i="35" s="1"/>
  <c r="R123" i="35"/>
  <c r="R17" i="35" s="1"/>
  <c r="Q123" i="35"/>
  <c r="Q17" i="35" s="1"/>
  <c r="T91" i="35"/>
  <c r="T16" i="35" s="1"/>
  <c r="S91" i="35"/>
  <c r="S16" i="35" s="1"/>
  <c r="R91" i="35"/>
  <c r="R16" i="35" s="1"/>
  <c r="Q91" i="35"/>
  <c r="Q16" i="35" s="1"/>
  <c r="T14" i="35"/>
  <c r="S14" i="35"/>
  <c r="R14" i="35"/>
  <c r="Q14" i="35"/>
  <c r="V123" i="35"/>
  <c r="V17" i="35" s="1"/>
  <c r="U123" i="35"/>
  <c r="U17" i="35" s="1"/>
  <c r="V91" i="35"/>
  <c r="V16" i="35" s="1"/>
  <c r="U91" i="35"/>
  <c r="U16" i="35" s="1"/>
  <c r="M15" i="35" l="1"/>
  <c r="M13" i="35" s="1"/>
  <c r="V15" i="35"/>
  <c r="V13" i="35" s="1"/>
  <c r="K15" i="35"/>
  <c r="K13" i="35" s="1"/>
  <c r="U15" i="35"/>
  <c r="U13" i="35" s="1"/>
  <c r="I15" i="35"/>
  <c r="I13" i="35" s="1"/>
  <c r="N15" i="35"/>
  <c r="N13" i="35" s="1"/>
  <c r="L15" i="35"/>
  <c r="L13" i="35" s="1"/>
  <c r="O15" i="35"/>
  <c r="O13" i="35" s="1"/>
  <c r="Q15" i="35"/>
  <c r="Q13" i="35" s="1"/>
  <c r="J15" i="35"/>
  <c r="J13" i="35" s="1"/>
  <c r="R15" i="35"/>
  <c r="R13" i="35" s="1"/>
  <c r="S15" i="35"/>
  <c r="S13" i="35" s="1"/>
  <c r="T15" i="35"/>
  <c r="T13" i="35" s="1"/>
  <c r="P15" i="35"/>
  <c r="P13" i="35" s="1"/>
  <c r="AB96" i="34"/>
  <c r="AB97" i="34" l="1"/>
  <c r="AB98" i="34" l="1"/>
  <c r="AB99" i="34" l="1"/>
  <c r="AB100" i="34" l="1"/>
  <c r="U87" i="34"/>
  <c r="U88" i="34"/>
  <c r="U89" i="34"/>
  <c r="U90" i="34"/>
  <c r="U91" i="34"/>
  <c r="U92" i="34"/>
  <c r="U93" i="34"/>
  <c r="U94" i="34"/>
  <c r="U95" i="34"/>
  <c r="U96" i="34"/>
  <c r="U97" i="34"/>
  <c r="U98" i="34"/>
  <c r="U86" i="34"/>
  <c r="AA100" i="34" s="1"/>
  <c r="K149" i="34"/>
  <c r="K151" i="34"/>
  <c r="K152" i="34"/>
  <c r="K153" i="34"/>
  <c r="K154" i="34"/>
  <c r="K155" i="34"/>
  <c r="K156" i="34"/>
  <c r="K157" i="34"/>
  <c r="K158" i="34"/>
  <c r="K159" i="34"/>
  <c r="J149" i="34"/>
  <c r="J151" i="34"/>
  <c r="J152" i="34"/>
  <c r="J153" i="34"/>
  <c r="J154" i="34"/>
  <c r="J155" i="34"/>
  <c r="J156" i="34"/>
  <c r="J157" i="34"/>
  <c r="J158" i="34"/>
  <c r="J159" i="34"/>
  <c r="G144" i="34"/>
  <c r="H144" i="34" s="1"/>
  <c r="K144" i="34" s="1"/>
  <c r="G145" i="34"/>
  <c r="H145" i="34" s="1"/>
  <c r="K145" i="34" s="1"/>
  <c r="G143" i="34"/>
  <c r="H143" i="34" s="1"/>
  <c r="H142" i="34"/>
  <c r="O88" i="34"/>
  <c r="O92" i="34"/>
  <c r="O93" i="34"/>
  <c r="O94" i="34"/>
  <c r="O95" i="34"/>
  <c r="O96" i="34"/>
  <c r="O97" i="34"/>
  <c r="O98" i="34"/>
  <c r="O86" i="34"/>
  <c r="N87" i="34"/>
  <c r="N88" i="34"/>
  <c r="N89" i="34"/>
  <c r="N90" i="34"/>
  <c r="N91" i="34"/>
  <c r="N92" i="34"/>
  <c r="N194" i="35" s="1"/>
  <c r="N93" i="34"/>
  <c r="O194" i="35" s="1"/>
  <c r="N94" i="34"/>
  <c r="N95" i="34"/>
  <c r="Q194" i="35" s="1"/>
  <c r="N96" i="34"/>
  <c r="R194" i="35" s="1"/>
  <c r="N97" i="34"/>
  <c r="S194" i="35" s="1"/>
  <c r="N98" i="34"/>
  <c r="T194" i="35" s="1"/>
  <c r="C945" i="17"/>
  <c r="C946" i="17"/>
  <c r="C944" i="17"/>
  <c r="B945" i="17"/>
  <c r="B946" i="17"/>
  <c r="B947" i="17"/>
  <c r="B944" i="17"/>
  <c r="A945" i="17"/>
  <c r="A946" i="17"/>
  <c r="A947" i="17"/>
  <c r="A948" i="17"/>
  <c r="A949" i="17"/>
  <c r="A950" i="17"/>
  <c r="A944" i="17"/>
  <c r="N86" i="34"/>
  <c r="AA99" i="34" l="1"/>
  <c r="H38" i="38"/>
  <c r="M194" i="35"/>
  <c r="H42" i="38"/>
  <c r="H194" i="35"/>
  <c r="H37" i="38"/>
  <c r="L194" i="35"/>
  <c r="H41" i="38"/>
  <c r="K194" i="35"/>
  <c r="H40" i="38"/>
  <c r="J194" i="35"/>
  <c r="H39" i="38"/>
  <c r="H33" i="38"/>
  <c r="P194" i="35"/>
  <c r="H43" i="38"/>
  <c r="P191" i="35"/>
  <c r="AA90" i="34"/>
  <c r="L191" i="35"/>
  <c r="AA88" i="34"/>
  <c r="J191" i="35"/>
  <c r="AA95" i="34"/>
  <c r="Q191" i="35"/>
  <c r="AA87" i="34"/>
  <c r="I191" i="35"/>
  <c r="AA98" i="34"/>
  <c r="T191" i="35"/>
  <c r="AA89" i="34"/>
  <c r="K191" i="35"/>
  <c r="AA96" i="34"/>
  <c r="R191" i="35"/>
  <c r="I194" i="35"/>
  <c r="AA97" i="34"/>
  <c r="S191" i="35"/>
  <c r="AA93" i="34"/>
  <c r="O191" i="35"/>
  <c r="AA92" i="34"/>
  <c r="N191" i="35"/>
  <c r="AA86" i="34"/>
  <c r="H191" i="35"/>
  <c r="AA91" i="34"/>
  <c r="M191" i="35"/>
  <c r="AA94" i="34"/>
  <c r="K143" i="34"/>
  <c r="J143" i="34"/>
  <c r="J145" i="34"/>
  <c r="J144" i="34"/>
  <c r="L92" i="34"/>
  <c r="M92" i="34"/>
  <c r="L93" i="34"/>
  <c r="M93" i="34"/>
  <c r="L95" i="34"/>
  <c r="M95" i="34"/>
  <c r="L96" i="34"/>
  <c r="M96" i="34"/>
  <c r="L97" i="34"/>
  <c r="M97" i="34"/>
  <c r="L98" i="34"/>
  <c r="M98" i="34"/>
  <c r="A958" i="17"/>
  <c r="A957" i="17"/>
  <c r="A956" i="17"/>
  <c r="A955" i="17"/>
  <c r="B50" i="25"/>
  <c r="B49" i="25"/>
  <c r="B48" i="25"/>
  <c r="B47" i="25"/>
  <c r="B46" i="25"/>
  <c r="B45" i="25"/>
  <c r="AC103" i="34"/>
  <c r="L94" i="34" l="1"/>
  <c r="G193" i="34" s="1"/>
  <c r="H193" i="34" s="1"/>
  <c r="Q195" i="35"/>
  <c r="G194" i="34"/>
  <c r="H194" i="34" s="1"/>
  <c r="R195" i="35"/>
  <c r="G195" i="34"/>
  <c r="H195" i="34" s="1"/>
  <c r="T195" i="35"/>
  <c r="G197" i="34"/>
  <c r="H197" i="34" s="1"/>
  <c r="O195" i="35"/>
  <c r="G192" i="34"/>
  <c r="H192" i="34" s="1"/>
  <c r="S195" i="35"/>
  <c r="G196" i="34"/>
  <c r="H196" i="34" s="1"/>
  <c r="N195" i="35"/>
  <c r="G191" i="34"/>
  <c r="H191" i="34" s="1"/>
  <c r="M89" i="34"/>
  <c r="M91" i="34"/>
  <c r="L91" i="34"/>
  <c r="M90" i="34"/>
  <c r="L90" i="34"/>
  <c r="AC96" i="34"/>
  <c r="M94" i="34"/>
  <c r="AC95" i="34"/>
  <c r="AC99" i="34"/>
  <c r="AC93" i="34"/>
  <c r="AC100" i="34"/>
  <c r="AC94" i="34"/>
  <c r="AC97" i="34"/>
  <c r="AC98" i="34"/>
  <c r="L89" i="34"/>
  <c r="L87" i="34"/>
  <c r="L86" i="34"/>
  <c r="G185" i="34" s="1"/>
  <c r="H185" i="34" s="1"/>
  <c r="M86" i="34"/>
  <c r="M88" i="34"/>
  <c r="L88" i="34"/>
  <c r="M87" i="34"/>
  <c r="AC82" i="34"/>
  <c r="P195" i="35" l="1"/>
  <c r="J185" i="34"/>
  <c r="K185" i="34"/>
  <c r="K195" i="35"/>
  <c r="G188" i="34"/>
  <c r="H188" i="34" s="1"/>
  <c r="L195" i="35"/>
  <c r="G189" i="34"/>
  <c r="H189" i="34" s="1"/>
  <c r="I195" i="35"/>
  <c r="G186" i="34"/>
  <c r="H186" i="34" s="1"/>
  <c r="J195" i="35"/>
  <c r="G187" i="34"/>
  <c r="H187" i="34" s="1"/>
  <c r="M195" i="35"/>
  <c r="G190" i="34"/>
  <c r="H190" i="34" s="1"/>
  <c r="H195" i="35"/>
  <c r="D39" i="34"/>
  <c r="D40" i="34" s="1"/>
  <c r="D41" i="34" s="1"/>
  <c r="D42" i="34" s="1"/>
  <c r="D43" i="34" s="1"/>
  <c r="D44" i="34" s="1"/>
  <c r="D45" i="34" s="1"/>
  <c r="D46" i="34" s="1"/>
  <c r="D47" i="34" s="1"/>
  <c r="D48" i="34" s="1"/>
  <c r="D49" i="34" s="1"/>
  <c r="Y158" i="35" l="1"/>
  <c r="Y177" i="35"/>
  <c r="Y115" i="35"/>
  <c r="Y76" i="35"/>
  <c r="Y75" i="35"/>
  <c r="Y72" i="35"/>
  <c r="Y110" i="35"/>
  <c r="Y156" i="35"/>
  <c r="Y84" i="35"/>
  <c r="Y162" i="35"/>
  <c r="Y153" i="35"/>
  <c r="Y170" i="35"/>
  <c r="J186" i="34"/>
  <c r="K186" i="34"/>
  <c r="Y103" i="35"/>
  <c r="Y159" i="35"/>
  <c r="Y168" i="35"/>
  <c r="Y117" i="35"/>
  <c r="Y109" i="35"/>
  <c r="Y182" i="35"/>
  <c r="Y178" i="35"/>
  <c r="Y171" i="35"/>
  <c r="Y179" i="35"/>
  <c r="Y174" i="35"/>
  <c r="Y163" i="35"/>
  <c r="Y165" i="35"/>
  <c r="Y102" i="35"/>
  <c r="Y181" i="35"/>
  <c r="Y89" i="35"/>
  <c r="Y119" i="35"/>
  <c r="Y146" i="35"/>
  <c r="Y136" i="35" s="1"/>
  <c r="Y106" i="35"/>
  <c r="Y83" i="35"/>
  <c r="Y82" i="35"/>
  <c r="Y86" i="35"/>
  <c r="Y98" i="35"/>
  <c r="Y166" i="35"/>
  <c r="Y88" i="35"/>
  <c r="Y80" i="35"/>
  <c r="Y111" i="35"/>
  <c r="K190" i="34"/>
  <c r="J190" i="34"/>
  <c r="K188" i="34"/>
  <c r="J188" i="34"/>
  <c r="Y73" i="35"/>
  <c r="Y180" i="35"/>
  <c r="Y169" i="35"/>
  <c r="Y100" i="35"/>
  <c r="Y104" i="35"/>
  <c r="Y85" i="35"/>
  <c r="Y65" i="35"/>
  <c r="Y120" i="35"/>
  <c r="Y173" i="35"/>
  <c r="Y116" i="35"/>
  <c r="Y175" i="35"/>
  <c r="Y67" i="35"/>
  <c r="Y99" i="35"/>
  <c r="Y114" i="35"/>
  <c r="Y113" i="35"/>
  <c r="Y155" i="35"/>
  <c r="Y74" i="35"/>
  <c r="Y81" i="35"/>
  <c r="Y167" i="35"/>
  <c r="Y77" i="35"/>
  <c r="Y121" i="35"/>
  <c r="Y112" i="35"/>
  <c r="Y68" i="35"/>
  <c r="Y176" i="35"/>
  <c r="Y107" i="35"/>
  <c r="Y164" i="35"/>
  <c r="Y78" i="35"/>
  <c r="Y157" i="35"/>
  <c r="Y70" i="35"/>
  <c r="Y172" i="35"/>
  <c r="Y105" i="35"/>
  <c r="Y154" i="35"/>
  <c r="Y101" i="35"/>
  <c r="Y118" i="35"/>
  <c r="Y69" i="35"/>
  <c r="Y160" i="35"/>
  <c r="Y108" i="35"/>
  <c r="Y152" i="35"/>
  <c r="Y79" i="35"/>
  <c r="Y66" i="35"/>
  <c r="Y87" i="35"/>
  <c r="Y161" i="35"/>
  <c r="Y71" i="35"/>
  <c r="Y97" i="35"/>
  <c r="F58" i="34"/>
  <c r="D58" i="34"/>
  <c r="D57" i="34"/>
  <c r="M82" i="34"/>
  <c r="L82" i="34"/>
  <c r="E85" i="34"/>
  <c r="E84" i="34"/>
  <c r="E83" i="34"/>
  <c r="D84" i="34"/>
  <c r="D85" i="34" s="1"/>
  <c r="D86" i="34" s="1"/>
  <c r="Y183" i="35" l="1"/>
  <c r="Y137" i="35" s="1"/>
  <c r="Y135" i="35" s="1"/>
  <c r="Y123" i="35"/>
  <c r="Y17" i="35" s="1"/>
  <c r="Y91" i="35"/>
  <c r="Y16" i="35" s="1"/>
  <c r="V86" i="34"/>
  <c r="O76" i="42" s="1"/>
  <c r="D87" i="34"/>
  <c r="V87" i="34" s="1"/>
  <c r="D110" i="34"/>
  <c r="D146" i="34"/>
  <c r="E185" i="34" l="1"/>
  <c r="P185" i="34" s="1"/>
  <c r="Y15" i="35"/>
  <c r="E186" i="34"/>
  <c r="E146" i="34"/>
  <c r="R146" i="34" s="1"/>
  <c r="E110" i="34"/>
  <c r="AC86" i="34"/>
  <c r="H193" i="35"/>
  <c r="AC87" i="34"/>
  <c r="I193" i="35"/>
  <c r="H196" i="35"/>
  <c r="D147" i="34"/>
  <c r="E147" i="34" s="1"/>
  <c r="D88" i="34"/>
  <c r="D111" i="34"/>
  <c r="E111" i="34" s="1"/>
  <c r="G146" i="34" l="1"/>
  <c r="H146" i="34" s="1"/>
  <c r="M146" i="34" s="1"/>
  <c r="L185" i="34"/>
  <c r="Q185" i="34"/>
  <c r="N185" i="34"/>
  <c r="M185" i="34"/>
  <c r="O185" i="34"/>
  <c r="I145" i="35"/>
  <c r="I151" i="35"/>
  <c r="H12" i="35"/>
  <c r="H145" i="35"/>
  <c r="H151" i="35"/>
  <c r="O186" i="34"/>
  <c r="N186" i="34"/>
  <c r="Q186" i="34"/>
  <c r="P186" i="34"/>
  <c r="M186" i="34"/>
  <c r="L186" i="34"/>
  <c r="H26" i="35"/>
  <c r="H64" i="35"/>
  <c r="H134" i="35"/>
  <c r="H96" i="35"/>
  <c r="G147" i="34"/>
  <c r="H147" i="34" s="1"/>
  <c r="V88" i="34"/>
  <c r="I12" i="35"/>
  <c r="I64" i="35"/>
  <c r="I26" i="35"/>
  <c r="I96" i="35"/>
  <c r="I134" i="35"/>
  <c r="D148" i="34"/>
  <c r="D89" i="34"/>
  <c r="D112" i="34"/>
  <c r="J146" i="34" l="1"/>
  <c r="K146" i="34"/>
  <c r="L146" i="34" s="1"/>
  <c r="O146" i="34"/>
  <c r="P146" i="34"/>
  <c r="Q146" i="34"/>
  <c r="N146" i="34"/>
  <c r="E112" i="34"/>
  <c r="E148" i="34"/>
  <c r="J193" i="35"/>
  <c r="P147" i="34"/>
  <c r="N147" i="34"/>
  <c r="J147" i="34"/>
  <c r="O147" i="34" s="1"/>
  <c r="K147" i="34"/>
  <c r="L147" i="34" s="1"/>
  <c r="M147" i="34"/>
  <c r="Q147" i="34"/>
  <c r="AC88" i="34"/>
  <c r="V89" i="34"/>
  <c r="I196" i="35"/>
  <c r="J196" i="35"/>
  <c r="D149" i="34"/>
  <c r="D90" i="34"/>
  <c r="D113" i="34"/>
  <c r="G148" i="34" l="1"/>
  <c r="H148" i="34" s="1"/>
  <c r="N148" i="34" s="1"/>
  <c r="J64" i="35"/>
  <c r="J151" i="35"/>
  <c r="J145" i="35"/>
  <c r="E113" i="34"/>
  <c r="E149" i="34"/>
  <c r="J12" i="35"/>
  <c r="J134" i="35"/>
  <c r="J96" i="35"/>
  <c r="J26" i="35"/>
  <c r="K193" i="35"/>
  <c r="V90" i="34"/>
  <c r="D150" i="34"/>
  <c r="D91" i="34"/>
  <c r="D114" i="34"/>
  <c r="D82" i="34"/>
  <c r="E82" i="34"/>
  <c r="K148" i="34" l="1"/>
  <c r="L148" i="34" s="1"/>
  <c r="J148" i="34"/>
  <c r="Q148" i="34"/>
  <c r="O148" i="34"/>
  <c r="M148" i="34"/>
  <c r="P148" i="34"/>
  <c r="G149" i="34"/>
  <c r="H149" i="34" s="1"/>
  <c r="L149" i="34" s="1"/>
  <c r="AC89" i="34"/>
  <c r="K96" i="35"/>
  <c r="K145" i="35"/>
  <c r="K151" i="35"/>
  <c r="L193" i="35"/>
  <c r="E114" i="34"/>
  <c r="E150" i="34"/>
  <c r="P149" i="34"/>
  <c r="K64" i="35"/>
  <c r="K12" i="35"/>
  <c r="K134" i="35"/>
  <c r="K26" i="35"/>
  <c r="K196" i="35"/>
  <c r="V91" i="34"/>
  <c r="D151" i="34"/>
  <c r="D92" i="34"/>
  <c r="D115" i="34"/>
  <c r="Q149" i="34" l="1"/>
  <c r="N149" i="34"/>
  <c r="M149" i="34"/>
  <c r="O149" i="34"/>
  <c r="G150" i="34"/>
  <c r="H150" i="34" s="1"/>
  <c r="K150" i="34" s="1"/>
  <c r="P194" i="34"/>
  <c r="L96" i="35"/>
  <c r="L151" i="35"/>
  <c r="L145" i="35"/>
  <c r="Q197" i="34"/>
  <c r="Q199" i="34"/>
  <c r="N199" i="34"/>
  <c r="M199" i="34"/>
  <c r="O199" i="34"/>
  <c r="P199" i="34"/>
  <c r="J150" i="34"/>
  <c r="L26" i="35"/>
  <c r="L134" i="35"/>
  <c r="L12" i="35"/>
  <c r="L64" i="35"/>
  <c r="M193" i="35"/>
  <c r="E115" i="34"/>
  <c r="E151" i="34"/>
  <c r="L196" i="35"/>
  <c r="D152" i="34"/>
  <c r="E152" i="34" s="1"/>
  <c r="D93" i="34"/>
  <c r="D116" i="34"/>
  <c r="E116" i="34" s="1"/>
  <c r="O150" i="34" l="1"/>
  <c r="N150" i="34"/>
  <c r="P150" i="34"/>
  <c r="L150" i="34"/>
  <c r="M150" i="34"/>
  <c r="G151" i="34"/>
  <c r="H151" i="34" s="1"/>
  <c r="O151" i="34" s="1"/>
  <c r="E212" i="34"/>
  <c r="M134" i="35"/>
  <c r="M145" i="35"/>
  <c r="M151" i="35"/>
  <c r="Q150" i="34"/>
  <c r="M96" i="35"/>
  <c r="M12" i="35"/>
  <c r="M64" i="35"/>
  <c r="M26" i="35"/>
  <c r="G152" i="34"/>
  <c r="N196" i="35"/>
  <c r="M196" i="35"/>
  <c r="D153" i="34"/>
  <c r="E153" i="34" s="1"/>
  <c r="D94" i="34"/>
  <c r="V94" i="34" s="1"/>
  <c r="D117" i="34"/>
  <c r="E117" i="34" s="1"/>
  <c r="P151" i="34" l="1"/>
  <c r="Q151" i="34"/>
  <c r="M151" i="34"/>
  <c r="L151" i="34"/>
  <c r="N151" i="34"/>
  <c r="E213" i="34"/>
  <c r="AC91" i="34"/>
  <c r="H152" i="34"/>
  <c r="L152" i="34" s="1"/>
  <c r="G212" i="34"/>
  <c r="L199" i="34"/>
  <c r="O196" i="34"/>
  <c r="N197" i="34"/>
  <c r="P197" i="34"/>
  <c r="L194" i="34"/>
  <c r="M194" i="34"/>
  <c r="P196" i="34"/>
  <c r="Q194" i="34"/>
  <c r="N194" i="34"/>
  <c r="L196" i="34"/>
  <c r="O197" i="34"/>
  <c r="M196" i="34"/>
  <c r="Q196" i="34"/>
  <c r="N196" i="34"/>
  <c r="L197" i="34"/>
  <c r="O194" i="34"/>
  <c r="M197" i="34"/>
  <c r="P193" i="35"/>
  <c r="G153" i="34"/>
  <c r="AC90" i="34"/>
  <c r="D154" i="34"/>
  <c r="E154" i="34" s="1"/>
  <c r="D95" i="34"/>
  <c r="D118" i="34"/>
  <c r="E118" i="34" s="1"/>
  <c r="E1" i="17"/>
  <c r="E943" i="17"/>
  <c r="N152" i="34" l="1"/>
  <c r="E214" i="34"/>
  <c r="O152" i="34"/>
  <c r="M152" i="34"/>
  <c r="Q152" i="34"/>
  <c r="P152" i="34"/>
  <c r="P151" i="35"/>
  <c r="P145" i="35"/>
  <c r="H153" i="34"/>
  <c r="L153" i="34" s="1"/>
  <c r="G213" i="34"/>
  <c r="G154" i="34"/>
  <c r="D155" i="34"/>
  <c r="E155" i="34" s="1"/>
  <c r="D96" i="34"/>
  <c r="D119" i="34"/>
  <c r="E119" i="34" s="1"/>
  <c r="B943" i="17"/>
  <c r="C943" i="17"/>
  <c r="A943" i="17"/>
  <c r="D943" i="17"/>
  <c r="N153" i="34" l="1"/>
  <c r="O153" i="34"/>
  <c r="M153" i="34"/>
  <c r="Q153" i="34"/>
  <c r="P153" i="34"/>
  <c r="H154" i="34"/>
  <c r="N154" i="34" s="1"/>
  <c r="G214" i="34"/>
  <c r="G155" i="34"/>
  <c r="H155" i="34" s="1"/>
  <c r="Q155" i="34" s="1"/>
  <c r="D156" i="34"/>
  <c r="E156" i="34" s="1"/>
  <c r="D97" i="34"/>
  <c r="D120" i="34"/>
  <c r="E120" i="34" s="1"/>
  <c r="P154" i="34" l="1"/>
  <c r="M154" i="34"/>
  <c r="O154" i="34"/>
  <c r="L154" i="34"/>
  <c r="Q154" i="34"/>
  <c r="N155" i="34"/>
  <c r="L155" i="34"/>
  <c r="O155" i="34"/>
  <c r="P155" i="34"/>
  <c r="M155" i="34"/>
  <c r="G156" i="34"/>
  <c r="H156" i="34" s="1"/>
  <c r="P156" i="34" s="1"/>
  <c r="D157" i="34"/>
  <c r="E157" i="34" s="1"/>
  <c r="D98" i="34"/>
  <c r="D121" i="34"/>
  <c r="E121" i="34" s="1"/>
  <c r="M156" i="34" l="1"/>
  <c r="N156" i="34"/>
  <c r="O156" i="34"/>
  <c r="L156" i="34"/>
  <c r="G157" i="34"/>
  <c r="H157" i="34" s="1"/>
  <c r="L157" i="34" s="1"/>
  <c r="Q156" i="34"/>
  <c r="D158" i="34"/>
  <c r="E158" i="34" s="1"/>
  <c r="D99" i="34"/>
  <c r="V99" i="34" s="1"/>
  <c r="D122" i="34"/>
  <c r="E122" i="34" s="1"/>
  <c r="G19" i="41"/>
  <c r="C63" i="39"/>
  <c r="C62" i="39"/>
  <c r="C61" i="39"/>
  <c r="C54" i="39"/>
  <c r="C52" i="39"/>
  <c r="C49" i="39"/>
  <c r="C48" i="39"/>
  <c r="C47" i="39"/>
  <c r="C46" i="39"/>
  <c r="C45" i="39"/>
  <c r="C44" i="39"/>
  <c r="C43" i="39"/>
  <c r="C7" i="39"/>
  <c r="C5" i="39"/>
  <c r="C32" i="41"/>
  <c r="C31" i="41"/>
  <c r="C29" i="41"/>
  <c r="C28" i="41"/>
  <c r="C27" i="41"/>
  <c r="C26" i="41"/>
  <c r="C23" i="41"/>
  <c r="C21" i="41"/>
  <c r="C20" i="41"/>
  <c r="C19" i="41"/>
  <c r="C18" i="41"/>
  <c r="G17" i="41"/>
  <c r="C17" i="41"/>
  <c r="C15" i="41"/>
  <c r="C14" i="41"/>
  <c r="C13" i="41"/>
  <c r="C11" i="41"/>
  <c r="C10" i="41"/>
  <c r="C9" i="41"/>
  <c r="C8" i="41"/>
  <c r="C7" i="41"/>
  <c r="C6" i="41"/>
  <c r="C4" i="41"/>
  <c r="B2" i="41"/>
  <c r="C21" i="38"/>
  <c r="C20" i="38"/>
  <c r="C19" i="38"/>
  <c r="C9" i="38"/>
  <c r="C8" i="38"/>
  <c r="C7" i="38"/>
  <c r="C6" i="38"/>
  <c r="C183" i="35"/>
  <c r="C137" i="35"/>
  <c r="D278" i="34"/>
  <c r="D143" i="33"/>
  <c r="C122" i="33"/>
  <c r="D17" i="33"/>
  <c r="D16" i="33"/>
  <c r="B83" i="10"/>
  <c r="B73" i="10"/>
  <c r="C62" i="10"/>
  <c r="C60" i="10"/>
  <c r="C59" i="10"/>
  <c r="B58" i="10"/>
  <c r="C57" i="10"/>
  <c r="B56" i="10"/>
  <c r="C53" i="10"/>
  <c r="C52" i="10"/>
  <c r="B51" i="10"/>
  <c r="B48" i="10"/>
  <c r="B5" i="10"/>
  <c r="B22" i="9"/>
  <c r="N69" i="42" l="1"/>
  <c r="P66" i="42"/>
  <c r="Q67" i="42"/>
  <c r="O69" i="42"/>
  <c r="N63" i="42"/>
  <c r="R61" i="42"/>
  <c r="N65" i="42"/>
  <c r="P64" i="42"/>
  <c r="Q65" i="42"/>
  <c r="R63" i="42"/>
  <c r="R59" i="42"/>
  <c r="Q69" i="42"/>
  <c r="N60" i="42"/>
  <c r="P62" i="42"/>
  <c r="P60" i="42"/>
  <c r="Q62" i="42"/>
  <c r="N61" i="42"/>
  <c r="O61" i="42"/>
  <c r="P67" i="42"/>
  <c r="N68" i="42"/>
  <c r="P68" i="42"/>
  <c r="Q64" i="42"/>
  <c r="P63" i="42"/>
  <c r="Q61" i="42"/>
  <c r="R67" i="42"/>
  <c r="Q68" i="42"/>
  <c r="P65" i="42"/>
  <c r="O67" i="42"/>
  <c r="Q59" i="42"/>
  <c r="N62" i="42"/>
  <c r="O63" i="42"/>
  <c r="N67" i="42"/>
  <c r="Q60" i="42"/>
  <c r="Q63" i="42"/>
  <c r="R69" i="42"/>
  <c r="Q66" i="42"/>
  <c r="N64" i="42"/>
  <c r="P69" i="42"/>
  <c r="N66" i="42"/>
  <c r="O59" i="42"/>
  <c r="E198" i="34"/>
  <c r="U193" i="35"/>
  <c r="P187" i="42"/>
  <c r="P202" i="42"/>
  <c r="N95" i="42"/>
  <c r="J95" i="42" s="1"/>
  <c r="P249" i="42"/>
  <c r="N175" i="42"/>
  <c r="J175" i="42" s="1"/>
  <c r="N119" i="42"/>
  <c r="J119" i="42" s="1"/>
  <c r="P84" i="42"/>
  <c r="P180" i="42"/>
  <c r="N188" i="42"/>
  <c r="J188" i="42" s="1"/>
  <c r="N113" i="42"/>
  <c r="J113" i="42" s="1"/>
  <c r="P112" i="42"/>
  <c r="N174" i="42"/>
  <c r="J174" i="42" s="1"/>
  <c r="P224" i="42"/>
  <c r="N162" i="42"/>
  <c r="J162" i="42" s="1"/>
  <c r="P200" i="42"/>
  <c r="P141" i="42"/>
  <c r="P120" i="42"/>
  <c r="P134" i="42"/>
  <c r="P59" i="42"/>
  <c r="P61" i="42"/>
  <c r="N141" i="42"/>
  <c r="J141" i="42" s="1"/>
  <c r="P199" i="42"/>
  <c r="N195" i="42"/>
  <c r="J195" i="42" s="1"/>
  <c r="P126" i="42"/>
  <c r="P78" i="42"/>
  <c r="P244" i="42"/>
  <c r="N214" i="42"/>
  <c r="J214" i="42" s="1"/>
  <c r="N128" i="42"/>
  <c r="J128" i="42" s="1"/>
  <c r="N93" i="42"/>
  <c r="J93" i="42" s="1"/>
  <c r="N209" i="42"/>
  <c r="J209" i="42" s="1"/>
  <c r="P185" i="42"/>
  <c r="N74" i="42"/>
  <c r="J74" i="42" s="1"/>
  <c r="N153" i="42"/>
  <c r="J153" i="42" s="1"/>
  <c r="N187" i="42"/>
  <c r="J187" i="42" s="1"/>
  <c r="N205" i="42"/>
  <c r="J205" i="42" s="1"/>
  <c r="N176" i="42"/>
  <c r="J176" i="42" s="1"/>
  <c r="N149" i="42"/>
  <c r="J149" i="42" s="1"/>
  <c r="N249" i="42"/>
  <c r="J249" i="42" s="1"/>
  <c r="P142" i="42"/>
  <c r="P107" i="42"/>
  <c r="N234" i="42"/>
  <c r="J234" i="42" s="1"/>
  <c r="N134" i="42"/>
  <c r="J134" i="42" s="1"/>
  <c r="P91" i="42"/>
  <c r="P229" i="42"/>
  <c r="P175" i="42"/>
  <c r="N156" i="42"/>
  <c r="J156" i="42" s="1"/>
  <c r="P216" i="42"/>
  <c r="P184" i="42"/>
  <c r="N244" i="42"/>
  <c r="J244" i="42" s="1"/>
  <c r="N231" i="42"/>
  <c r="J231" i="42" s="1"/>
  <c r="N150" i="42"/>
  <c r="J150" i="42" s="1"/>
  <c r="N225" i="42"/>
  <c r="J225" i="42" s="1"/>
  <c r="N120" i="42"/>
  <c r="J120" i="42" s="1"/>
  <c r="P236" i="42"/>
  <c r="P119" i="42"/>
  <c r="N241" i="42"/>
  <c r="J241" i="42" s="1"/>
  <c r="N136" i="42"/>
  <c r="J136" i="42" s="1"/>
  <c r="N196" i="42"/>
  <c r="J196" i="42" s="1"/>
  <c r="N173" i="42"/>
  <c r="J173" i="42" s="1"/>
  <c r="P223" i="42"/>
  <c r="P100" i="42"/>
  <c r="P99" i="42"/>
  <c r="N129" i="42"/>
  <c r="J129" i="42" s="1"/>
  <c r="P155" i="42"/>
  <c r="N183" i="42"/>
  <c r="J183" i="42" s="1"/>
  <c r="P103" i="42"/>
  <c r="P245" i="42"/>
  <c r="N138" i="42"/>
  <c r="J138" i="42" s="1"/>
  <c r="P106" i="42"/>
  <c r="N157" i="42"/>
  <c r="J157" i="42" s="1"/>
  <c r="N59" i="42"/>
  <c r="P127" i="42"/>
  <c r="P98" i="42"/>
  <c r="N103" i="42"/>
  <c r="J103" i="42" s="1"/>
  <c r="P157" i="42"/>
  <c r="N165" i="42"/>
  <c r="J165" i="42" s="1"/>
  <c r="P201" i="42"/>
  <c r="P162" i="42"/>
  <c r="N250" i="42"/>
  <c r="J250" i="42" s="1"/>
  <c r="P136" i="42"/>
  <c r="N81" i="42"/>
  <c r="J81" i="42" s="1"/>
  <c r="P239" i="42"/>
  <c r="P248" i="42"/>
  <c r="P232" i="42"/>
  <c r="P253" i="42"/>
  <c r="P72" i="42"/>
  <c r="P130" i="42"/>
  <c r="P154" i="42"/>
  <c r="N96" i="42"/>
  <c r="J96" i="42" s="1"/>
  <c r="N211" i="42"/>
  <c r="J211" i="42" s="1"/>
  <c r="P258" i="42"/>
  <c r="P177" i="42"/>
  <c r="P257" i="42"/>
  <c r="N242" i="42"/>
  <c r="J242" i="42" s="1"/>
  <c r="N121" i="42"/>
  <c r="J121" i="42" s="1"/>
  <c r="P188" i="42"/>
  <c r="N146" i="42"/>
  <c r="J146" i="42" s="1"/>
  <c r="P90" i="42"/>
  <c r="N86" i="42"/>
  <c r="J86" i="42" s="1"/>
  <c r="N130" i="42"/>
  <c r="J130" i="42" s="1"/>
  <c r="N220" i="42"/>
  <c r="J220" i="42" s="1"/>
  <c r="P133" i="42"/>
  <c r="P190" i="42"/>
  <c r="P151" i="42"/>
  <c r="P192" i="42"/>
  <c r="N255" i="42"/>
  <c r="J255" i="42" s="1"/>
  <c r="P105" i="42"/>
  <c r="N100" i="42"/>
  <c r="J100" i="42" s="1"/>
  <c r="N155" i="42"/>
  <c r="J155" i="42" s="1"/>
  <c r="N189" i="42"/>
  <c r="J189" i="42" s="1"/>
  <c r="N122" i="42"/>
  <c r="J122" i="42" s="1"/>
  <c r="P252" i="42"/>
  <c r="P256" i="42"/>
  <c r="N147" i="42"/>
  <c r="J147" i="42" s="1"/>
  <c r="P228" i="42"/>
  <c r="N184" i="42"/>
  <c r="J184" i="42" s="1"/>
  <c r="P117" i="42"/>
  <c r="N182" i="42"/>
  <c r="J182" i="42" s="1"/>
  <c r="N85" i="42"/>
  <c r="J85" i="42" s="1"/>
  <c r="N253" i="42"/>
  <c r="J253" i="42" s="1"/>
  <c r="N221" i="42"/>
  <c r="J221" i="42" s="1"/>
  <c r="N80" i="42"/>
  <c r="J80" i="42" s="1"/>
  <c r="N143" i="42"/>
  <c r="J143" i="42" s="1"/>
  <c r="N125" i="42"/>
  <c r="J125" i="42" s="1"/>
  <c r="P92" i="42"/>
  <c r="N116" i="42"/>
  <c r="J116" i="42" s="1"/>
  <c r="N198" i="42"/>
  <c r="J198" i="42" s="1"/>
  <c r="P214" i="42"/>
  <c r="N139" i="42"/>
  <c r="J139" i="42" s="1"/>
  <c r="N216" i="42"/>
  <c r="J216" i="42" s="1"/>
  <c r="N151" i="42"/>
  <c r="J151" i="42" s="1"/>
  <c r="P138" i="42"/>
  <c r="P73" i="42"/>
  <c r="N108" i="42"/>
  <c r="J108" i="42" s="1"/>
  <c r="P161" i="42"/>
  <c r="N168" i="42"/>
  <c r="J168" i="42" s="1"/>
  <c r="N148" i="42"/>
  <c r="J148" i="42" s="1"/>
  <c r="N219" i="42"/>
  <c r="J219" i="42" s="1"/>
  <c r="P143" i="42"/>
  <c r="N92" i="42"/>
  <c r="J92" i="42" s="1"/>
  <c r="P104" i="42"/>
  <c r="N197" i="42"/>
  <c r="J197" i="42" s="1"/>
  <c r="P80" i="42"/>
  <c r="N180" i="42"/>
  <c r="J180" i="42" s="1"/>
  <c r="N82" i="42"/>
  <c r="J82" i="42" s="1"/>
  <c r="P183" i="42"/>
  <c r="N110" i="42"/>
  <c r="J110" i="42" s="1"/>
  <c r="P191" i="42"/>
  <c r="N186" i="42"/>
  <c r="J186" i="42" s="1"/>
  <c r="N73" i="42"/>
  <c r="J73" i="42" s="1"/>
  <c r="P167" i="42"/>
  <c r="P158" i="42"/>
  <c r="N115" i="42"/>
  <c r="J115" i="42" s="1"/>
  <c r="N132" i="42"/>
  <c r="J132" i="42" s="1"/>
  <c r="N171" i="42"/>
  <c r="J171" i="42" s="1"/>
  <c r="N163" i="42"/>
  <c r="J163" i="42" s="1"/>
  <c r="N213" i="42"/>
  <c r="J213" i="42" s="1"/>
  <c r="N159" i="42"/>
  <c r="J159" i="42" s="1"/>
  <c r="P156" i="42"/>
  <c r="N126" i="42"/>
  <c r="J126" i="42" s="1"/>
  <c r="P77" i="42"/>
  <c r="P194" i="42"/>
  <c r="N200" i="42"/>
  <c r="J200" i="42" s="1"/>
  <c r="P198" i="42"/>
  <c r="P213" i="42"/>
  <c r="P86" i="42"/>
  <c r="N133" i="42"/>
  <c r="J133" i="42" s="1"/>
  <c r="P242" i="42"/>
  <c r="N142" i="42"/>
  <c r="J142" i="42" s="1"/>
  <c r="N224" i="42"/>
  <c r="J224" i="42" s="1"/>
  <c r="N111" i="42"/>
  <c r="J111" i="42" s="1"/>
  <c r="P85" i="42"/>
  <c r="P145" i="42"/>
  <c r="P97" i="42"/>
  <c r="P139" i="42"/>
  <c r="P96" i="42"/>
  <c r="P246" i="42"/>
  <c r="N112" i="42"/>
  <c r="J112" i="42" s="1"/>
  <c r="P147" i="42"/>
  <c r="N94" i="42"/>
  <c r="J94" i="42" s="1"/>
  <c r="N215" i="42"/>
  <c r="J215" i="42" s="1"/>
  <c r="P172" i="42"/>
  <c r="P203" i="42"/>
  <c r="P146" i="42"/>
  <c r="P206" i="42"/>
  <c r="N154" i="42"/>
  <c r="J154" i="42" s="1"/>
  <c r="P94" i="42"/>
  <c r="P215" i="42"/>
  <c r="N237" i="42"/>
  <c r="J237" i="42" s="1"/>
  <c r="P217" i="42"/>
  <c r="N238" i="42"/>
  <c r="J238" i="42" s="1"/>
  <c r="P160" i="42"/>
  <c r="N169" i="42"/>
  <c r="J169" i="42" s="1"/>
  <c r="N192" i="42"/>
  <c r="J192" i="42" s="1"/>
  <c r="N89" i="42"/>
  <c r="J89" i="42" s="1"/>
  <c r="P222" i="42"/>
  <c r="P219" i="42"/>
  <c r="P159" i="42"/>
  <c r="P124" i="42"/>
  <c r="N257" i="42"/>
  <c r="J257" i="42" s="1"/>
  <c r="P218" i="42"/>
  <c r="N254" i="42"/>
  <c r="J254" i="42" s="1"/>
  <c r="N118" i="42"/>
  <c r="J118" i="42" s="1"/>
  <c r="N178" i="42"/>
  <c r="J178" i="42" s="1"/>
  <c r="N206" i="42"/>
  <c r="J206" i="42" s="1"/>
  <c r="N161" i="42"/>
  <c r="J161" i="42" s="1"/>
  <c r="P95" i="42"/>
  <c r="N104" i="42"/>
  <c r="J104" i="42" s="1"/>
  <c r="N124" i="42"/>
  <c r="J124" i="42" s="1"/>
  <c r="N252" i="42"/>
  <c r="J252" i="42" s="1"/>
  <c r="N179" i="42"/>
  <c r="J179" i="42" s="1"/>
  <c r="P81" i="42"/>
  <c r="P75" i="42"/>
  <c r="P93" i="42"/>
  <c r="N181" i="42"/>
  <c r="J181" i="42" s="1"/>
  <c r="N101" i="42"/>
  <c r="J101" i="42" s="1"/>
  <c r="N135" i="42"/>
  <c r="J135" i="42" s="1"/>
  <c r="N230" i="42"/>
  <c r="J230" i="42" s="1"/>
  <c r="N240" i="42"/>
  <c r="J240" i="42" s="1"/>
  <c r="P210" i="42"/>
  <c r="N193" i="42"/>
  <c r="J193" i="42" s="1"/>
  <c r="P205" i="42"/>
  <c r="P148" i="42"/>
  <c r="N79" i="42"/>
  <c r="J79" i="42" s="1"/>
  <c r="P128" i="42"/>
  <c r="N222" i="42"/>
  <c r="J222" i="42" s="1"/>
  <c r="N97" i="42"/>
  <c r="J97" i="42" s="1"/>
  <c r="N137" i="42"/>
  <c r="J137" i="42" s="1"/>
  <c r="N217" i="42"/>
  <c r="J217" i="42" s="1"/>
  <c r="P169" i="42"/>
  <c r="N251" i="42"/>
  <c r="J251" i="42" s="1"/>
  <c r="P76" i="42"/>
  <c r="P251" i="42"/>
  <c r="P83" i="42"/>
  <c r="P166" i="42"/>
  <c r="N243" i="42"/>
  <c r="J243" i="42" s="1"/>
  <c r="P168" i="42"/>
  <c r="N107" i="42"/>
  <c r="J107" i="42" s="1"/>
  <c r="P204" i="42"/>
  <c r="N167" i="42"/>
  <c r="J167" i="42" s="1"/>
  <c r="P152" i="42"/>
  <c r="P193" i="42"/>
  <c r="N258" i="42"/>
  <c r="J258" i="42" s="1"/>
  <c r="N117" i="42"/>
  <c r="J117" i="42" s="1"/>
  <c r="R175" i="42"/>
  <c r="R248" i="42"/>
  <c r="Q194" i="42"/>
  <c r="R176" i="42"/>
  <c r="Q200" i="42"/>
  <c r="R162" i="42"/>
  <c r="R192" i="42"/>
  <c r="Q86" i="42"/>
  <c r="R153" i="42"/>
  <c r="Q247" i="42"/>
  <c r="Q168" i="42"/>
  <c r="R78" i="42"/>
  <c r="R217" i="42"/>
  <c r="R202" i="42"/>
  <c r="Q95" i="42"/>
  <c r="Q105" i="42"/>
  <c r="Q104" i="42"/>
  <c r="Q228" i="42"/>
  <c r="R187" i="42"/>
  <c r="R100" i="42"/>
  <c r="Q137" i="42"/>
  <c r="Q236" i="42"/>
  <c r="R165" i="42"/>
  <c r="R129" i="42"/>
  <c r="R135" i="42"/>
  <c r="Q170" i="42"/>
  <c r="Q128" i="42"/>
  <c r="Q145" i="42"/>
  <c r="R258" i="42"/>
  <c r="Q152" i="42"/>
  <c r="R238" i="42"/>
  <c r="Q164" i="42"/>
  <c r="Q147" i="42"/>
  <c r="Q227" i="42"/>
  <c r="Q189" i="42"/>
  <c r="R253" i="42"/>
  <c r="R245" i="42"/>
  <c r="Q225" i="42"/>
  <c r="Q184" i="42"/>
  <c r="R84" i="42"/>
  <c r="R193" i="42"/>
  <c r="Q117" i="42"/>
  <c r="Q222" i="42"/>
  <c r="R88" i="42"/>
  <c r="R97" i="42"/>
  <c r="Q182" i="42"/>
  <c r="Q71" i="42"/>
  <c r="R218" i="42"/>
  <c r="Q88" i="42"/>
  <c r="N88" i="42"/>
  <c r="J88" i="42" s="1"/>
  <c r="P132" i="42"/>
  <c r="Q92" i="42"/>
  <c r="Q258" i="42"/>
  <c r="Q140" i="42"/>
  <c r="Q234" i="42"/>
  <c r="R184" i="42"/>
  <c r="Q110" i="42"/>
  <c r="R196" i="42"/>
  <c r="Q159" i="42"/>
  <c r="P221" i="42"/>
  <c r="N99" i="42"/>
  <c r="J99" i="42" s="1"/>
  <c r="P227" i="42"/>
  <c r="P129" i="42"/>
  <c r="P131" i="42"/>
  <c r="N227" i="42"/>
  <c r="J227" i="42" s="1"/>
  <c r="N229" i="42"/>
  <c r="J229" i="42" s="1"/>
  <c r="N71" i="42"/>
  <c r="J71" i="42" s="1"/>
  <c r="P174" i="42"/>
  <c r="P89" i="42"/>
  <c r="P150" i="42"/>
  <c r="N212" i="42"/>
  <c r="J212" i="42" s="1"/>
  <c r="N131" i="42"/>
  <c r="J131" i="42" s="1"/>
  <c r="P109" i="42"/>
  <c r="P235" i="42"/>
  <c r="N223" i="42"/>
  <c r="J223" i="42" s="1"/>
  <c r="P212" i="42"/>
  <c r="P87" i="42"/>
  <c r="N109" i="42"/>
  <c r="J109" i="42" s="1"/>
  <c r="N233" i="42"/>
  <c r="J233" i="42" s="1"/>
  <c r="Q75" i="42"/>
  <c r="Q251" i="42"/>
  <c r="R243" i="42"/>
  <c r="R94" i="42"/>
  <c r="R250" i="42"/>
  <c r="Q107" i="42"/>
  <c r="Q197" i="42"/>
  <c r="R122" i="42"/>
  <c r="R244" i="42"/>
  <c r="R167" i="42"/>
  <c r="R139" i="42"/>
  <c r="R180" i="42"/>
  <c r="R161" i="42"/>
  <c r="R126" i="42"/>
  <c r="Q77" i="42"/>
  <c r="Q135" i="42"/>
  <c r="R214" i="42"/>
  <c r="R119" i="42"/>
  <c r="R240" i="42"/>
  <c r="R90" i="42"/>
  <c r="R231" i="42"/>
  <c r="R108" i="42"/>
  <c r="Q76" i="42"/>
  <c r="Q237" i="42"/>
  <c r="R87" i="42"/>
  <c r="R121" i="42"/>
  <c r="Q100" i="42"/>
  <c r="R226" i="42"/>
  <c r="R166" i="42"/>
  <c r="Q143" i="42"/>
  <c r="Q126" i="42"/>
  <c r="Q125" i="42"/>
  <c r="Q123" i="42"/>
  <c r="Q201" i="42"/>
  <c r="R95" i="42"/>
  <c r="R215" i="42"/>
  <c r="Q162" i="42"/>
  <c r="R227" i="42"/>
  <c r="Q213" i="42"/>
  <c r="R205" i="42"/>
  <c r="Q132" i="42"/>
  <c r="R237" i="42"/>
  <c r="R81" i="42"/>
  <c r="Q181" i="42"/>
  <c r="Q108" i="42"/>
  <c r="P255" i="42"/>
  <c r="N166" i="42"/>
  <c r="J166" i="42" s="1"/>
  <c r="N90" i="42"/>
  <c r="J90" i="42" s="1"/>
  <c r="Q174" i="42"/>
  <c r="Q212" i="42"/>
  <c r="Q80" i="42"/>
  <c r="Q226" i="42"/>
  <c r="P181" i="42"/>
  <c r="P240" i="42"/>
  <c r="N83" i="42"/>
  <c r="J83" i="42" s="1"/>
  <c r="P250" i="42"/>
  <c r="P74" i="42"/>
  <c r="P254" i="42"/>
  <c r="P171" i="42"/>
  <c r="P144" i="42"/>
  <c r="N84" i="42"/>
  <c r="J84" i="42" s="1"/>
  <c r="P196" i="42"/>
  <c r="N170" i="42"/>
  <c r="J170" i="42" s="1"/>
  <c r="P226" i="42"/>
  <c r="N144" i="42"/>
  <c r="J144" i="42" s="1"/>
  <c r="P182" i="42"/>
  <c r="P247" i="42"/>
  <c r="P118" i="42"/>
  <c r="P178" i="42"/>
  <c r="P237" i="42"/>
  <c r="N232" i="42"/>
  <c r="J232" i="42" s="1"/>
  <c r="P110" i="42"/>
  <c r="R183" i="42"/>
  <c r="R71" i="42"/>
  <c r="R221" i="42"/>
  <c r="Q106" i="42"/>
  <c r="R242" i="42"/>
  <c r="R207" i="42"/>
  <c r="Q118" i="42"/>
  <c r="Q253" i="42"/>
  <c r="Q151" i="42"/>
  <c r="R234" i="42"/>
  <c r="Q97" i="42"/>
  <c r="R140" i="42"/>
  <c r="Q256" i="42"/>
  <c r="Q254" i="42"/>
  <c r="R101" i="42"/>
  <c r="R239" i="42"/>
  <c r="Q157" i="42"/>
  <c r="R235" i="42"/>
  <c r="Q188" i="42"/>
  <c r="Q185" i="42"/>
  <c r="Q224" i="42"/>
  <c r="Q179" i="42"/>
  <c r="R77" i="42"/>
  <c r="R208" i="42"/>
  <c r="Q119" i="42"/>
  <c r="R212" i="42"/>
  <c r="R174" i="42"/>
  <c r="R197" i="42"/>
  <c r="R75" i="42"/>
  <c r="R179" i="42"/>
  <c r="Q210" i="42"/>
  <c r="Q232" i="42"/>
  <c r="Q252" i="42"/>
  <c r="Q257" i="42"/>
  <c r="Q163" i="42"/>
  <c r="Q142" i="42"/>
  <c r="R195" i="42"/>
  <c r="R83" i="42"/>
  <c r="R257" i="42"/>
  <c r="R111" i="42"/>
  <c r="R74" i="42"/>
  <c r="R200" i="42"/>
  <c r="Q199" i="42"/>
  <c r="Q250" i="42"/>
  <c r="R186" i="42"/>
  <c r="R103" i="42"/>
  <c r="R124" i="42"/>
  <c r="N190" i="42"/>
  <c r="J190" i="42" s="1"/>
  <c r="P164" i="42"/>
  <c r="N185" i="42"/>
  <c r="J185" i="42" s="1"/>
  <c r="P123" i="42"/>
  <c r="N246" i="42"/>
  <c r="J246" i="42" s="1"/>
  <c r="N247" i="42"/>
  <c r="J247" i="42" s="1"/>
  <c r="P125" i="42"/>
  <c r="N199" i="42"/>
  <c r="J199" i="42" s="1"/>
  <c r="P116" i="42"/>
  <c r="P230" i="42"/>
  <c r="P113" i="42"/>
  <c r="N218" i="42"/>
  <c r="J218" i="42" s="1"/>
  <c r="P79" i="42"/>
  <c r="N78" i="42"/>
  <c r="J78" i="42" s="1"/>
  <c r="N127" i="42"/>
  <c r="J127" i="42" s="1"/>
  <c r="P115" i="42"/>
  <c r="P140" i="42"/>
  <c r="P241" i="42"/>
  <c r="P195" i="42"/>
  <c r="AC92" i="34"/>
  <c r="Q167" i="42"/>
  <c r="R225" i="42"/>
  <c r="R125" i="42"/>
  <c r="R177" i="42"/>
  <c r="Q192" i="42"/>
  <c r="R204" i="42"/>
  <c r="R120" i="42"/>
  <c r="R163" i="42"/>
  <c r="Q150" i="42"/>
  <c r="Q193" i="42"/>
  <c r="Q214" i="42"/>
  <c r="Q166" i="42"/>
  <c r="R173" i="42"/>
  <c r="Q190" i="42"/>
  <c r="Q173" i="42"/>
  <c r="Q79" i="42"/>
  <c r="Q82" i="42"/>
  <c r="Q124" i="42"/>
  <c r="R170" i="42"/>
  <c r="R222" i="42"/>
  <c r="R178" i="42"/>
  <c r="R142" i="42"/>
  <c r="R89" i="42"/>
  <c r="R251" i="42"/>
  <c r="Q85" i="42"/>
  <c r="R210" i="42"/>
  <c r="Q133" i="42"/>
  <c r="R149" i="42"/>
  <c r="Q84" i="42"/>
  <c r="Q78" i="42"/>
  <c r="R160" i="42"/>
  <c r="R191" i="42"/>
  <c r="Q161" i="42"/>
  <c r="Q240" i="42"/>
  <c r="Q215" i="42"/>
  <c r="R137" i="42"/>
  <c r="Q90" i="42"/>
  <c r="R249" i="42"/>
  <c r="R255" i="42"/>
  <c r="R220" i="42"/>
  <c r="Q158" i="42"/>
  <c r="Q219" i="42"/>
  <c r="R72" i="42"/>
  <c r="R190" i="42"/>
  <c r="R150" i="42"/>
  <c r="Q241" i="42"/>
  <c r="P233" i="42"/>
  <c r="P179" i="42"/>
  <c r="N72" i="42"/>
  <c r="J72" i="42" s="1"/>
  <c r="Q230" i="42"/>
  <c r="Q127" i="42"/>
  <c r="R118" i="42"/>
  <c r="Q186" i="42"/>
  <c r="Q235" i="42"/>
  <c r="R116" i="42"/>
  <c r="R136" i="42"/>
  <c r="R182" i="42"/>
  <c r="N202" i="42"/>
  <c r="J202" i="42" s="1"/>
  <c r="P234" i="42"/>
  <c r="N236" i="42"/>
  <c r="J236" i="42" s="1"/>
  <c r="P149" i="42"/>
  <c r="P170" i="42"/>
  <c r="Q70" i="42"/>
  <c r="P243" i="42"/>
  <c r="N248" i="42"/>
  <c r="J248" i="42" s="1"/>
  <c r="P238" i="42"/>
  <c r="P108" i="42"/>
  <c r="P231" i="42"/>
  <c r="P173" i="42"/>
  <c r="N239" i="42"/>
  <c r="J239" i="42" s="1"/>
  <c r="N172" i="42"/>
  <c r="J172" i="42" s="1"/>
  <c r="P70" i="42"/>
  <c r="N208" i="42"/>
  <c r="J208" i="42" s="1"/>
  <c r="N164" i="42"/>
  <c r="J164" i="42" s="1"/>
  <c r="N191" i="42"/>
  <c r="J191" i="42" s="1"/>
  <c r="P220" i="42"/>
  <c r="P197" i="42"/>
  <c r="Q176" i="42"/>
  <c r="Q209" i="42"/>
  <c r="R168" i="42"/>
  <c r="Q180" i="42"/>
  <c r="R230" i="42"/>
  <c r="R158" i="42"/>
  <c r="Q81" i="42"/>
  <c r="R213" i="42"/>
  <c r="Q203" i="42"/>
  <c r="R155" i="42"/>
  <c r="Q129" i="42"/>
  <c r="Q83" i="42"/>
  <c r="R148" i="42"/>
  <c r="R147" i="42"/>
  <c r="Q177" i="42"/>
  <c r="R107" i="42"/>
  <c r="R112" i="42"/>
  <c r="R203" i="42"/>
  <c r="R117" i="42"/>
  <c r="Q131" i="42"/>
  <c r="Q111" i="42"/>
  <c r="Q139" i="42"/>
  <c r="R134" i="42"/>
  <c r="Q72" i="42"/>
  <c r="Q136" i="42"/>
  <c r="Q231" i="42"/>
  <c r="R247" i="42"/>
  <c r="Q207" i="42"/>
  <c r="R229" i="42"/>
  <c r="R233" i="42"/>
  <c r="Q94" i="42"/>
  <c r="R80" i="42"/>
  <c r="R252" i="42"/>
  <c r="Q160" i="42"/>
  <c r="Q144" i="42"/>
  <c r="R93" i="42"/>
  <c r="R82" i="42"/>
  <c r="Q99" i="42"/>
  <c r="R157" i="42"/>
  <c r="R232" i="42"/>
  <c r="R188" i="42"/>
  <c r="R91" i="42"/>
  <c r="Q120" i="42"/>
  <c r="Q187" i="42"/>
  <c r="R102" i="42"/>
  <c r="R76" i="42"/>
  <c r="Q154" i="42"/>
  <c r="Q249" i="42"/>
  <c r="R98" i="42"/>
  <c r="N210" i="42"/>
  <c r="J210" i="42" s="1"/>
  <c r="N158" i="42"/>
  <c r="J158" i="42" s="1"/>
  <c r="N201" i="42"/>
  <c r="J201" i="42" s="1"/>
  <c r="P186" i="42"/>
  <c r="N87" i="42"/>
  <c r="J87" i="42" s="1"/>
  <c r="R104" i="42"/>
  <c r="R128" i="42"/>
  <c r="Q149" i="42"/>
  <c r="Q73" i="42"/>
  <c r="R199" i="42"/>
  <c r="Q245" i="42"/>
  <c r="Q242" i="42"/>
  <c r="R96" i="42"/>
  <c r="Q87" i="42"/>
  <c r="R86" i="42"/>
  <c r="N228" i="42"/>
  <c r="J228" i="42" s="1"/>
  <c r="N204" i="42"/>
  <c r="J204" i="42" s="1"/>
  <c r="N145" i="42"/>
  <c r="J145" i="42" s="1"/>
  <c r="P211" i="42"/>
  <c r="P102" i="42"/>
  <c r="N207" i="42"/>
  <c r="J207" i="42" s="1"/>
  <c r="N160" i="42"/>
  <c r="J160" i="42" s="1"/>
  <c r="N235" i="42"/>
  <c r="J235" i="42" s="1"/>
  <c r="P121" i="42"/>
  <c r="P137" i="42"/>
  <c r="N70" i="42"/>
  <c r="N77" i="42"/>
  <c r="J77" i="42" s="1"/>
  <c r="P225" i="42"/>
  <c r="P209" i="42"/>
  <c r="P71" i="42"/>
  <c r="N203" i="42"/>
  <c r="J203" i="42" s="1"/>
  <c r="P135" i="42"/>
  <c r="N245" i="42"/>
  <c r="J245" i="42" s="1"/>
  <c r="N177" i="42"/>
  <c r="J177" i="42" s="1"/>
  <c r="N152" i="42"/>
  <c r="J152" i="42" s="1"/>
  <c r="Q216" i="42"/>
  <c r="R228" i="42"/>
  <c r="Q114" i="42"/>
  <c r="Q175" i="42"/>
  <c r="R169" i="42"/>
  <c r="Q116" i="42"/>
  <c r="R141" i="42"/>
  <c r="Q244" i="42"/>
  <c r="Q146" i="42"/>
  <c r="Q130" i="42"/>
  <c r="R219" i="42"/>
  <c r="Q221" i="42"/>
  <c r="Q165" i="42"/>
  <c r="R115" i="42"/>
  <c r="R246" i="42"/>
  <c r="R164" i="42"/>
  <c r="R241" i="42"/>
  <c r="Q248" i="42"/>
  <c r="Q238" i="42"/>
  <c r="R131" i="42"/>
  <c r="Q243" i="42"/>
  <c r="Q183" i="42"/>
  <c r="R223" i="42"/>
  <c r="Q191" i="42"/>
  <c r="R206" i="42"/>
  <c r="R256" i="42"/>
  <c r="Q74" i="42"/>
  <c r="R151" i="42"/>
  <c r="Q156" i="42"/>
  <c r="Q255" i="42"/>
  <c r="R254" i="42"/>
  <c r="R143" i="42"/>
  <c r="Q205" i="42"/>
  <c r="R181" i="42"/>
  <c r="Q220" i="42"/>
  <c r="Q103" i="42"/>
  <c r="R110" i="42"/>
  <c r="R172" i="42"/>
  <c r="R92" i="42"/>
  <c r="R130" i="42"/>
  <c r="Q91" i="42"/>
  <c r="R106" i="42"/>
  <c r="Q202" i="42"/>
  <c r="Q233" i="42"/>
  <c r="R113" i="42"/>
  <c r="Q196" i="42"/>
  <c r="Q134" i="42"/>
  <c r="P163" i="42"/>
  <c r="P153" i="42"/>
  <c r="P114" i="42"/>
  <c r="N123" i="42"/>
  <c r="J123" i="42" s="1"/>
  <c r="R138" i="42"/>
  <c r="R99" i="42"/>
  <c r="R154" i="42"/>
  <c r="Q115" i="42"/>
  <c r="Q217" i="42"/>
  <c r="Q229" i="42"/>
  <c r="Q89" i="42"/>
  <c r="R144" i="42"/>
  <c r="Q195" i="42"/>
  <c r="N75" i="42"/>
  <c r="J75" i="42" s="1"/>
  <c r="N98" i="42"/>
  <c r="J98" i="42" s="1"/>
  <c r="N105" i="42"/>
  <c r="J105" i="42" s="1"/>
  <c r="N91" i="42"/>
  <c r="J91" i="42" s="1"/>
  <c r="P189" i="42"/>
  <c r="N76" i="42"/>
  <c r="N102" i="42"/>
  <c r="J102" i="42" s="1"/>
  <c r="P101" i="42"/>
  <c r="N256" i="42"/>
  <c r="J256" i="42" s="1"/>
  <c r="N226" i="42"/>
  <c r="J226" i="42" s="1"/>
  <c r="P176" i="42"/>
  <c r="P122" i="42"/>
  <c r="P208" i="42"/>
  <c r="N106" i="42"/>
  <c r="J106" i="42" s="1"/>
  <c r="P207" i="42"/>
  <c r="N140" i="42"/>
  <c r="J140" i="42" s="1"/>
  <c r="P165" i="42"/>
  <c r="P88" i="42"/>
  <c r="P82" i="42"/>
  <c r="R201" i="42"/>
  <c r="R152" i="42"/>
  <c r="Q155" i="42"/>
  <c r="R211" i="42"/>
  <c r="Q109" i="42"/>
  <c r="Q218" i="42"/>
  <c r="Q102" i="42"/>
  <c r="Q121" i="42"/>
  <c r="R216" i="42"/>
  <c r="Q138" i="42"/>
  <c r="Q211" i="42"/>
  <c r="R145" i="42"/>
  <c r="R123" i="42"/>
  <c r="R171" i="42"/>
  <c r="Q246" i="42"/>
  <c r="Q113" i="42"/>
  <c r="R79" i="42"/>
  <c r="R156" i="42"/>
  <c r="R127" i="42"/>
  <c r="Q141" i="42"/>
  <c r="Q112" i="42"/>
  <c r="R236" i="42"/>
  <c r="Q171" i="42"/>
  <c r="Q93" i="42"/>
  <c r="R85" i="42"/>
  <c r="R194" i="42"/>
  <c r="Q178" i="42"/>
  <c r="Q223" i="42"/>
  <c r="R189" i="42"/>
  <c r="R109" i="42"/>
  <c r="Q239" i="42"/>
  <c r="Q208" i="42"/>
  <c r="Q153" i="42"/>
  <c r="R132" i="42"/>
  <c r="Q98" i="42"/>
  <c r="Q101" i="42"/>
  <c r="R105" i="42"/>
  <c r="R114" i="42"/>
  <c r="R159" i="42"/>
  <c r="Q172" i="42"/>
  <c r="R209" i="42"/>
  <c r="R198" i="42"/>
  <c r="Q198" i="42"/>
  <c r="Q206" i="42"/>
  <c r="R133" i="42"/>
  <c r="R185" i="42"/>
  <c r="Q204" i="42"/>
  <c r="P111" i="42"/>
  <c r="N194" i="42"/>
  <c r="J194" i="42" s="1"/>
  <c r="N114" i="42"/>
  <c r="J114" i="42" s="1"/>
  <c r="Q122" i="42"/>
  <c r="Q169" i="42"/>
  <c r="R73" i="42"/>
  <c r="R146" i="42"/>
  <c r="Q148" i="42"/>
  <c r="R224" i="42"/>
  <c r="Q96" i="42"/>
  <c r="O157" i="34"/>
  <c r="P157" i="34"/>
  <c r="Q157" i="34"/>
  <c r="M157" i="34"/>
  <c r="G158" i="34"/>
  <c r="H158" i="34" s="1"/>
  <c r="L158" i="34" s="1"/>
  <c r="N157" i="34"/>
  <c r="D159" i="34"/>
  <c r="E159" i="34" s="1"/>
  <c r="D100" i="34"/>
  <c r="D123" i="34"/>
  <c r="E123" i="34" s="1"/>
  <c r="J76" i="42" l="1"/>
  <c r="M76" i="42"/>
  <c r="M67" i="42"/>
  <c r="J67" i="42"/>
  <c r="M66" i="42"/>
  <c r="J66" i="42"/>
  <c r="M65" i="42"/>
  <c r="J65" i="42"/>
  <c r="J62" i="42"/>
  <c r="M62" i="42"/>
  <c r="J64" i="42"/>
  <c r="M64" i="42"/>
  <c r="J60" i="42"/>
  <c r="M60" i="42"/>
  <c r="M63" i="42"/>
  <c r="J63" i="42"/>
  <c r="M68" i="42"/>
  <c r="J68" i="42"/>
  <c r="J61" i="42"/>
  <c r="M61" i="42"/>
  <c r="J69" i="42"/>
  <c r="M69" i="42"/>
  <c r="M70" i="42"/>
  <c r="J70" i="42"/>
  <c r="U145" i="35"/>
  <c r="U151" i="35"/>
  <c r="M59" i="42"/>
  <c r="J59" i="42"/>
  <c r="M198" i="34"/>
  <c r="P198" i="34"/>
  <c r="Q198" i="34"/>
  <c r="L198" i="34"/>
  <c r="O198" i="34"/>
  <c r="N198" i="34"/>
  <c r="O158" i="34"/>
  <c r="M158" i="34"/>
  <c r="N158" i="34"/>
  <c r="Q158" i="34"/>
  <c r="P158" i="34"/>
  <c r="G159" i="34"/>
  <c r="H159" i="34" s="1"/>
  <c r="M159" i="34" s="1"/>
  <c r="D160" i="34"/>
  <c r="E160" i="34" s="1"/>
  <c r="R160" i="34" s="1"/>
  <c r="D124" i="34"/>
  <c r="E124" i="34" s="1"/>
  <c r="C24" i="41"/>
  <c r="C121" i="41"/>
  <c r="F120" i="41"/>
  <c r="E120" i="41"/>
  <c r="C119" i="41"/>
  <c r="F117" i="41"/>
  <c r="F121" i="41" s="1"/>
  <c r="G20" i="41" s="1"/>
  <c r="E117" i="41"/>
  <c r="E121" i="41" s="1"/>
  <c r="D117" i="41"/>
  <c r="C117" i="41"/>
  <c r="D36" i="41"/>
  <c r="C36" i="41"/>
  <c r="F35" i="41"/>
  <c r="E35" i="41"/>
  <c r="C35" i="41"/>
  <c r="C34" i="41"/>
  <c r="C33" i="41"/>
  <c r="J259" i="42" l="1"/>
  <c r="Q159" i="34"/>
  <c r="O159" i="34"/>
  <c r="N159" i="34"/>
  <c r="L159" i="34"/>
  <c r="P159" i="34"/>
  <c r="G160" i="34"/>
  <c r="H160" i="34" s="1"/>
  <c r="R26" i="35"/>
  <c r="R134" i="35"/>
  <c r="R64" i="35"/>
  <c r="R96" i="35"/>
  <c r="R12" i="35"/>
  <c r="Q64" i="35"/>
  <c r="Q12" i="35"/>
  <c r="Q134" i="35"/>
  <c r="Q26" i="35"/>
  <c r="Q96" i="35"/>
  <c r="P96" i="35"/>
  <c r="P64" i="35"/>
  <c r="P134" i="35"/>
  <c r="P26" i="35"/>
  <c r="P12" i="35"/>
  <c r="O12" i="35"/>
  <c r="O26" i="35"/>
  <c r="O134" i="35"/>
  <c r="O64" i="35"/>
  <c r="O96" i="35"/>
  <c r="S134" i="35"/>
  <c r="S26" i="35"/>
  <c r="S12" i="35"/>
  <c r="S64" i="35"/>
  <c r="S96" i="35"/>
  <c r="T134" i="35"/>
  <c r="T12" i="35"/>
  <c r="T26" i="35"/>
  <c r="T96" i="35"/>
  <c r="T64" i="35"/>
  <c r="V12" i="35"/>
  <c r="V134" i="35"/>
  <c r="V96" i="35"/>
  <c r="V64" i="35"/>
  <c r="V26" i="35"/>
  <c r="U12" i="35"/>
  <c r="U134" i="35"/>
  <c r="U96" i="35"/>
  <c r="U26" i="35"/>
  <c r="U64" i="35"/>
  <c r="N12" i="35"/>
  <c r="N134" i="35"/>
  <c r="N96" i="35"/>
  <c r="N64" i="35"/>
  <c r="N26" i="35"/>
  <c r="C50" i="39"/>
  <c r="B65" i="10"/>
  <c r="L160" i="34" l="1"/>
  <c r="L169" i="34" s="1"/>
  <c r="G42" i="9" s="1"/>
  <c r="K160" i="34"/>
  <c r="J160" i="34"/>
  <c r="Q160" i="34"/>
  <c r="M160" i="34"/>
  <c r="M170" i="34" s="1"/>
  <c r="G46" i="9" s="1"/>
  <c r="O160" i="34"/>
  <c r="N160" i="34"/>
  <c r="P160" i="34"/>
  <c r="S196" i="35"/>
  <c r="U196" i="35"/>
  <c r="R196" i="35"/>
  <c r="T196" i="35"/>
  <c r="V196" i="35"/>
  <c r="Y46" i="35"/>
  <c r="Y48" i="35"/>
  <c r="Y56" i="35"/>
  <c r="Y30" i="35"/>
  <c r="Y34" i="35"/>
  <c r="Y50" i="35"/>
  <c r="Y55" i="35"/>
  <c r="Y35" i="35"/>
  <c r="Y54" i="35"/>
  <c r="Y40" i="35"/>
  <c r="Y33" i="35"/>
  <c r="Y53" i="35"/>
  <c r="Y41" i="35"/>
  <c r="Y27" i="35"/>
  <c r="Y32" i="35"/>
  <c r="Y31" i="35"/>
  <c r="Y52" i="35"/>
  <c r="Y44" i="35"/>
  <c r="Y43" i="35"/>
  <c r="Y57" i="35"/>
  <c r="Y28" i="35"/>
  <c r="Y37" i="35"/>
  <c r="Q196" i="35"/>
  <c r="P196" i="35"/>
  <c r="O196" i="35"/>
  <c r="Y51" i="35"/>
  <c r="Y49" i="35"/>
  <c r="Y45" i="35"/>
  <c r="Y47" i="35"/>
  <c r="Y36" i="35"/>
  <c r="Y39" i="35"/>
  <c r="Y29" i="35"/>
  <c r="Y38" i="35"/>
  <c r="Y42" i="35"/>
  <c r="A281" i="17"/>
  <c r="A862" i="17"/>
  <c r="A632" i="17"/>
  <c r="J164" i="34" l="1"/>
  <c r="F19" i="35" s="1"/>
  <c r="K168" i="34"/>
  <c r="Y58" i="35"/>
  <c r="Y14" i="35" s="1"/>
  <c r="Y13" i="35" s="1"/>
  <c r="P173" i="34"/>
  <c r="G48" i="9" s="1"/>
  <c r="O172" i="34"/>
  <c r="G44" i="9" s="1"/>
  <c r="N171" i="34"/>
  <c r="G50" i="9" s="1"/>
  <c r="Q174" i="34"/>
  <c r="G52" i="9" s="1"/>
  <c r="W168" i="35"/>
  <c r="X168" i="35" s="1"/>
  <c r="W172" i="35"/>
  <c r="X172" i="35" s="1"/>
  <c r="W106" i="35"/>
  <c r="X106" i="35" s="1"/>
  <c r="W176" i="35"/>
  <c r="X176" i="35" s="1"/>
  <c r="W121" i="35"/>
  <c r="X121" i="35" s="1"/>
  <c r="W67" i="35"/>
  <c r="X67" i="35" s="1"/>
  <c r="W80" i="35"/>
  <c r="X80" i="35" s="1"/>
  <c r="W105" i="35"/>
  <c r="X105" i="35" s="1"/>
  <c r="W101" i="35"/>
  <c r="X101" i="35" s="1"/>
  <c r="W173" i="35"/>
  <c r="X173" i="35" s="1"/>
  <c r="W77" i="35"/>
  <c r="X77" i="35" s="1"/>
  <c r="W79" i="35"/>
  <c r="X79" i="35" s="1"/>
  <c r="W98" i="35"/>
  <c r="X98" i="35" s="1"/>
  <c r="W108" i="35"/>
  <c r="X108" i="35" s="1"/>
  <c r="W178" i="35"/>
  <c r="X178" i="35" s="1"/>
  <c r="W97" i="35"/>
  <c r="W116" i="35"/>
  <c r="X116" i="35" s="1"/>
  <c r="W170" i="35"/>
  <c r="X170" i="35" s="1"/>
  <c r="W86" i="35"/>
  <c r="X86" i="35" s="1"/>
  <c r="W155" i="35"/>
  <c r="X155" i="35" s="1"/>
  <c r="W179" i="35"/>
  <c r="X179" i="35" s="1"/>
  <c r="W89" i="35"/>
  <c r="X89" i="35" s="1"/>
  <c r="W74" i="35"/>
  <c r="X74" i="35" s="1"/>
  <c r="W120" i="35"/>
  <c r="X120" i="35" s="1"/>
  <c r="W177" i="35"/>
  <c r="X177" i="35" s="1"/>
  <c r="W181" i="35"/>
  <c r="X181" i="35" s="1"/>
  <c r="W102" i="35"/>
  <c r="X102" i="35" s="1"/>
  <c r="W100" i="35"/>
  <c r="X100" i="35" s="1"/>
  <c r="W146" i="35"/>
  <c r="W136" i="35" s="1"/>
  <c r="W84" i="35"/>
  <c r="X84" i="35" s="1"/>
  <c r="W164" i="35"/>
  <c r="X164" i="35" s="1"/>
  <c r="W165" i="35"/>
  <c r="X165" i="35" s="1"/>
  <c r="W107" i="35"/>
  <c r="X107" i="35" s="1"/>
  <c r="W182" i="35"/>
  <c r="X182" i="35" s="1"/>
  <c r="W87" i="35"/>
  <c r="X87" i="35" s="1"/>
  <c r="W156" i="35"/>
  <c r="X156" i="35" s="1"/>
  <c r="W160" i="35"/>
  <c r="X160" i="35" s="1"/>
  <c r="W73" i="35"/>
  <c r="X73" i="35" s="1"/>
  <c r="W154" i="35"/>
  <c r="X154" i="35" s="1"/>
  <c r="W152" i="35"/>
  <c r="W161" i="35"/>
  <c r="X161" i="35" s="1"/>
  <c r="W71" i="35"/>
  <c r="X71" i="35" s="1"/>
  <c r="W111" i="35"/>
  <c r="X111" i="35" s="1"/>
  <c r="W180" i="35"/>
  <c r="X180" i="35" s="1"/>
  <c r="W115" i="35"/>
  <c r="X115" i="35" s="1"/>
  <c r="W169" i="35"/>
  <c r="X169" i="35" s="1"/>
  <c r="W157" i="35"/>
  <c r="X157" i="35" s="1"/>
  <c r="W103" i="35"/>
  <c r="X103" i="35" s="1"/>
  <c r="W174" i="35"/>
  <c r="X174" i="35" s="1"/>
  <c r="W70" i="35"/>
  <c r="X70" i="35" s="1"/>
  <c r="W83" i="35"/>
  <c r="X83" i="35" s="1"/>
  <c r="W109" i="35"/>
  <c r="X109" i="35" s="1"/>
  <c r="W81" i="35"/>
  <c r="X81" i="35" s="1"/>
  <c r="W175" i="35"/>
  <c r="X175" i="35" s="1"/>
  <c r="W88" i="35"/>
  <c r="X88" i="35" s="1"/>
  <c r="W167" i="35"/>
  <c r="X167" i="35" s="1"/>
  <c r="W112" i="35"/>
  <c r="X112" i="35" s="1"/>
  <c r="W114" i="35"/>
  <c r="X114" i="35" s="1"/>
  <c r="W117" i="35"/>
  <c r="X117" i="35" s="1"/>
  <c r="W66" i="35"/>
  <c r="X66" i="35" s="1"/>
  <c r="W76" i="35"/>
  <c r="X76" i="35" s="1"/>
  <c r="W159" i="35"/>
  <c r="X159" i="35" s="1"/>
  <c r="W171" i="35"/>
  <c r="X171" i="35" s="1"/>
  <c r="W99" i="35"/>
  <c r="X99" i="35" s="1"/>
  <c r="W153" i="35"/>
  <c r="X153" i="35" s="1"/>
  <c r="W104" i="35"/>
  <c r="X104" i="35" s="1"/>
  <c r="W163" i="35"/>
  <c r="X163" i="35" s="1"/>
  <c r="W158" i="35"/>
  <c r="X158" i="35" s="1"/>
  <c r="W162" i="35"/>
  <c r="X162" i="35" s="1"/>
  <c r="W65" i="35"/>
  <c r="W113" i="35"/>
  <c r="X113" i="35" s="1"/>
  <c r="W68" i="35"/>
  <c r="X68" i="35" s="1"/>
  <c r="W75" i="35"/>
  <c r="X75" i="35" s="1"/>
  <c r="W110" i="35"/>
  <c r="X110" i="35" s="1"/>
  <c r="W69" i="35"/>
  <c r="X69" i="35" s="1"/>
  <c r="W72" i="35"/>
  <c r="X72" i="35" s="1"/>
  <c r="W118" i="35"/>
  <c r="X118" i="35" s="1"/>
  <c r="W119" i="35"/>
  <c r="X119" i="35" s="1"/>
  <c r="W166" i="35"/>
  <c r="X166" i="35" s="1"/>
  <c r="W82" i="35"/>
  <c r="X82" i="35" s="1"/>
  <c r="W85" i="35"/>
  <c r="X85" i="35" s="1"/>
  <c r="W78" i="35"/>
  <c r="X78" i="35" s="1"/>
  <c r="W53" i="35"/>
  <c r="X53" i="35" s="1"/>
  <c r="W44" i="35"/>
  <c r="X44" i="35" s="1"/>
  <c r="W48" i="35"/>
  <c r="X48" i="35" s="1"/>
  <c r="W54" i="35"/>
  <c r="X54" i="35" s="1"/>
  <c r="W47" i="35"/>
  <c r="X47" i="35" s="1"/>
  <c r="W29" i="35"/>
  <c r="X29" i="35" s="1"/>
  <c r="W49" i="35"/>
  <c r="X49" i="35" s="1"/>
  <c r="W50" i="35"/>
  <c r="X50" i="35" s="1"/>
  <c r="W57" i="35"/>
  <c r="X57" i="35" s="1"/>
  <c r="W27" i="35"/>
  <c r="W38" i="35"/>
  <c r="X38" i="35" s="1"/>
  <c r="W45" i="35"/>
  <c r="X45" i="35" s="1"/>
  <c r="W32" i="35"/>
  <c r="X32" i="35" s="1"/>
  <c r="W42" i="35"/>
  <c r="X42" i="35" s="1"/>
  <c r="W28" i="35"/>
  <c r="X28" i="35" s="1"/>
  <c r="W52" i="35"/>
  <c r="X52" i="35" s="1"/>
  <c r="W43" i="35"/>
  <c r="X43" i="35" s="1"/>
  <c r="W40" i="35"/>
  <c r="X40" i="35" s="1"/>
  <c r="W46" i="35"/>
  <c r="X46" i="35" s="1"/>
  <c r="W41" i="35"/>
  <c r="X41" i="35" s="1"/>
  <c r="W55" i="35"/>
  <c r="X55" i="35" s="1"/>
  <c r="W37" i="35"/>
  <c r="X37" i="35" s="1"/>
  <c r="W30" i="35"/>
  <c r="X30" i="35" s="1"/>
  <c r="W34" i="35"/>
  <c r="X34" i="35" s="1"/>
  <c r="W56" i="35"/>
  <c r="X56" i="35" s="1"/>
  <c r="W31" i="35"/>
  <c r="X31" i="35" s="1"/>
  <c r="W39" i="35"/>
  <c r="X39" i="35" s="1"/>
  <c r="W35" i="35"/>
  <c r="X35" i="35" s="1"/>
  <c r="W51" i="35"/>
  <c r="X51" i="35" s="1"/>
  <c r="W36" i="35"/>
  <c r="X36" i="35" s="1"/>
  <c r="W33" i="35"/>
  <c r="X33" i="35" s="1"/>
  <c r="B43" i="25"/>
  <c r="B42" i="25"/>
  <c r="B41" i="25"/>
  <c r="J251" i="34" l="1"/>
  <c r="U251" i="34" s="1"/>
  <c r="G38" i="9"/>
  <c r="X152" i="35"/>
  <c r="X183" i="35" s="1"/>
  <c r="X137" i="35" s="1"/>
  <c r="W183" i="35"/>
  <c r="W137" i="35" s="1"/>
  <c r="W135" i="35" s="1"/>
  <c r="X27" i="35"/>
  <c r="X58" i="35" s="1"/>
  <c r="X14" i="35" s="1"/>
  <c r="W58" i="35"/>
  <c r="W14" i="35" s="1"/>
  <c r="W123" i="35"/>
  <c r="W17" i="35" s="1"/>
  <c r="X97" i="35"/>
  <c r="X123" i="35" s="1"/>
  <c r="X17" i="35" s="1"/>
  <c r="X65" i="35"/>
  <c r="X91" i="35" s="1"/>
  <c r="X16" i="35" s="1"/>
  <c r="W91" i="35"/>
  <c r="W16" i="35" s="1"/>
  <c r="X146" i="35"/>
  <c r="X136" i="35" s="1"/>
  <c r="D254" i="34"/>
  <c r="D18" i="33"/>
  <c r="B54" i="10"/>
  <c r="C91" i="35"/>
  <c r="C15" i="35"/>
  <c r="X15" i="35" l="1"/>
  <c r="X13" i="35" s="1"/>
  <c r="X135" i="35"/>
  <c r="W15" i="35"/>
  <c r="W13" i="35" s="1"/>
  <c r="C61" i="35"/>
  <c r="C16" i="35"/>
  <c r="D115" i="10"/>
  <c r="D113" i="10"/>
  <c r="D112" i="10"/>
  <c r="B84" i="10"/>
  <c r="B81" i="10"/>
  <c r="B44" i="25"/>
  <c r="B40" i="25"/>
  <c r="B39" i="25"/>
  <c r="B69" i="10"/>
  <c r="B35" i="10"/>
  <c r="B33" i="10"/>
  <c r="B34" i="10"/>
  <c r="B32" i="10"/>
  <c r="B31" i="10"/>
  <c r="B30" i="10"/>
  <c r="B29" i="10"/>
  <c r="B14" i="10"/>
  <c r="A915" i="17" l="1"/>
  <c r="H14" i="35"/>
  <c r="G14" i="35"/>
  <c r="F14" i="35"/>
  <c r="E14" i="35"/>
  <c r="D116" i="10" l="1"/>
  <c r="D111" i="10"/>
  <c r="B13" i="10"/>
  <c r="A914" i="17"/>
  <c r="A512" i="17"/>
  <c r="A505" i="17"/>
  <c r="C5" i="38"/>
  <c r="C4" i="38"/>
  <c r="B2" i="38"/>
  <c r="J7" i="36"/>
  <c r="C5" i="36"/>
  <c r="C182" i="35"/>
  <c r="C181" i="35"/>
  <c r="C180" i="35"/>
  <c r="C179" i="35"/>
  <c r="C178" i="35"/>
  <c r="C177" i="35"/>
  <c r="C176" i="35"/>
  <c r="C175" i="35"/>
  <c r="C174" i="35"/>
  <c r="C173" i="35"/>
  <c r="C172" i="35"/>
  <c r="C171" i="35"/>
  <c r="C170" i="35"/>
  <c r="C169" i="35"/>
  <c r="C168" i="35"/>
  <c r="C167" i="35"/>
  <c r="C166" i="35"/>
  <c r="C165" i="35"/>
  <c r="C164" i="35"/>
  <c r="C163" i="35"/>
  <c r="C162" i="35"/>
  <c r="C161" i="35"/>
  <c r="C160" i="35"/>
  <c r="C159" i="35"/>
  <c r="C158" i="35"/>
  <c r="C157" i="35"/>
  <c r="C156" i="35"/>
  <c r="C155" i="35"/>
  <c r="C154" i="35"/>
  <c r="C153" i="35"/>
  <c r="C152" i="35"/>
  <c r="C148" i="35"/>
  <c r="C146" i="35"/>
  <c r="C145" i="35"/>
  <c r="C142" i="35"/>
  <c r="C139" i="35"/>
  <c r="C136" i="35"/>
  <c r="C135" i="35"/>
  <c r="C128" i="35"/>
  <c r="C126" i="35"/>
  <c r="AC123" i="35"/>
  <c r="AC122" i="35"/>
  <c r="AC121" i="35"/>
  <c r="AC120" i="35"/>
  <c r="AC119" i="35"/>
  <c r="AC118" i="35"/>
  <c r="AC117" i="35"/>
  <c r="AC116" i="35"/>
  <c r="AC115" i="35"/>
  <c r="AC114" i="35"/>
  <c r="AC113" i="35"/>
  <c r="AC112" i="35"/>
  <c r="AC111" i="35"/>
  <c r="AC110" i="35"/>
  <c r="AC109" i="35"/>
  <c r="AC108" i="35"/>
  <c r="AC107" i="35"/>
  <c r="AC106" i="35"/>
  <c r="AC105" i="35"/>
  <c r="AC104" i="35"/>
  <c r="AC103" i="35"/>
  <c r="AC102" i="35"/>
  <c r="AC101" i="35"/>
  <c r="AC100" i="35"/>
  <c r="AC99" i="35"/>
  <c r="AC98" i="35"/>
  <c r="AC97" i="35"/>
  <c r="AC96" i="35"/>
  <c r="AC95" i="35"/>
  <c r="AC93" i="35"/>
  <c r="AC17" i="35"/>
  <c r="D307" i="34"/>
  <c r="D303" i="34"/>
  <c r="D276" i="34"/>
  <c r="D219" i="34"/>
  <c r="D218" i="34"/>
  <c r="D178" i="34"/>
  <c r="D177" i="34"/>
  <c r="D164" i="34"/>
  <c r="D128" i="34"/>
  <c r="E187" i="34" s="1"/>
  <c r="D26" i="34"/>
  <c r="D24" i="34"/>
  <c r="D21" i="34"/>
  <c r="D20" i="34"/>
  <c r="D19" i="34"/>
  <c r="D6" i="34"/>
  <c r="B146" i="10"/>
  <c r="B143" i="10"/>
  <c r="B26" i="10"/>
  <c r="B25" i="10"/>
  <c r="B24" i="10"/>
  <c r="B23" i="10"/>
  <c r="B22" i="10"/>
  <c r="B20" i="10"/>
  <c r="B19" i="10"/>
  <c r="B56" i="9"/>
  <c r="B55" i="9"/>
  <c r="B21" i="9"/>
  <c r="B16" i="9"/>
  <c r="B3" i="9"/>
  <c r="A651" i="17" l="1"/>
  <c r="K187" i="34" l="1"/>
  <c r="J187" i="34"/>
  <c r="P187" i="34"/>
  <c r="L187" i="34"/>
  <c r="N187" i="34"/>
  <c r="O187" i="34"/>
  <c r="Q187" i="34"/>
  <c r="C140" i="35"/>
  <c r="G134" i="35"/>
  <c r="F134" i="35"/>
  <c r="E134" i="35"/>
  <c r="Z133" i="35"/>
  <c r="D182" i="35"/>
  <c r="D181" i="35"/>
  <c r="D180" i="35"/>
  <c r="D179"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A913" i="17"/>
  <c r="A912" i="17"/>
  <c r="A911" i="17"/>
  <c r="A910" i="17"/>
  <c r="A909" i="17"/>
  <c r="A908" i="17"/>
  <c r="A907" i="17"/>
  <c r="A906" i="17"/>
  <c r="A905" i="17"/>
  <c r="A904" i="17"/>
  <c r="A903" i="17"/>
  <c r="A902" i="17"/>
  <c r="A901" i="17"/>
  <c r="A900" i="17"/>
  <c r="A899" i="17"/>
  <c r="A898" i="17"/>
  <c r="A897" i="17"/>
  <c r="A896" i="17"/>
  <c r="A895" i="17"/>
  <c r="A894" i="17"/>
  <c r="A893" i="17"/>
  <c r="A892" i="17"/>
  <c r="A891" i="17"/>
  <c r="A890" i="17"/>
  <c r="A889" i="17"/>
  <c r="A888" i="17"/>
  <c r="A887" i="17"/>
  <c r="A886" i="17"/>
  <c r="A885" i="17"/>
  <c r="A884" i="17"/>
  <c r="A883" i="17"/>
  <c r="D151" i="35"/>
  <c r="C151" i="35"/>
  <c r="Z150" i="35"/>
  <c r="Z144" i="35"/>
  <c r="J204" i="34"/>
  <c r="K204" i="34"/>
  <c r="J205" i="34"/>
  <c r="K205" i="34"/>
  <c r="J206" i="34"/>
  <c r="K206" i="34"/>
  <c r="J207" i="34"/>
  <c r="K207" i="34"/>
  <c r="J208" i="34"/>
  <c r="K208" i="34"/>
  <c r="J209" i="34"/>
  <c r="K209" i="34"/>
  <c r="J210" i="34"/>
  <c r="K210" i="34"/>
  <c r="J211" i="34"/>
  <c r="K211" i="34"/>
  <c r="J212" i="34"/>
  <c r="K212" i="34"/>
  <c r="J213" i="34"/>
  <c r="K213" i="34"/>
  <c r="J214" i="34"/>
  <c r="K214" i="34"/>
  <c r="K203" i="34"/>
  <c r="J203" i="34"/>
  <c r="G215" i="34"/>
  <c r="D216" i="34"/>
  <c r="D204" i="34"/>
  <c r="D205" i="34" s="1"/>
  <c r="D206" i="34" s="1"/>
  <c r="D207" i="34" s="1"/>
  <c r="D208" i="34" s="1"/>
  <c r="D209" i="34" s="1"/>
  <c r="D210" i="34" s="1"/>
  <c r="D211" i="34" s="1"/>
  <c r="D212" i="34" s="1"/>
  <c r="D213" i="34" s="1"/>
  <c r="D214" i="34" s="1"/>
  <c r="K202" i="34"/>
  <c r="J202" i="34"/>
  <c r="I202" i="34"/>
  <c r="H202" i="34"/>
  <c r="G202" i="34"/>
  <c r="E202" i="34"/>
  <c r="D202" i="34"/>
  <c r="L26" i="34"/>
  <c r="D22" i="34"/>
  <c r="D9" i="34"/>
  <c r="M187" i="34" l="1"/>
  <c r="E118" i="38"/>
  <c r="A878" i="17" l="1"/>
  <c r="A877" i="17"/>
  <c r="A876" i="17"/>
  <c r="A875" i="17"/>
  <c r="A874" i="17"/>
  <c r="A873" i="17"/>
  <c r="A872" i="17"/>
  <c r="A871" i="17"/>
  <c r="A870" i="17"/>
  <c r="A869" i="17"/>
  <c r="A868" i="17"/>
  <c r="A867" i="17"/>
  <c r="A866" i="17"/>
  <c r="A865" i="17"/>
  <c r="A864" i="17"/>
  <c r="A863" i="17"/>
  <c r="A861" i="17"/>
  <c r="A860" i="17"/>
  <c r="A859" i="17"/>
  <c r="A858" i="17"/>
  <c r="A857" i="17"/>
  <c r="A856" i="17"/>
  <c r="A855" i="17"/>
  <c r="A854" i="17"/>
  <c r="A853" i="17"/>
  <c r="A852" i="17"/>
  <c r="A851" i="17"/>
  <c r="A850" i="17"/>
  <c r="A849" i="17"/>
  <c r="A848" i="17"/>
  <c r="A847" i="17"/>
  <c r="A846" i="17"/>
  <c r="A845" i="17"/>
  <c r="A844" i="17"/>
  <c r="A843" i="17"/>
  <c r="A842" i="17"/>
  <c r="A841" i="17"/>
  <c r="A840" i="17"/>
  <c r="A839" i="17"/>
  <c r="A838" i="17"/>
  <c r="A837" i="17"/>
  <c r="A836" i="17"/>
  <c r="A835" i="17"/>
  <c r="A834" i="17"/>
  <c r="A833" i="17"/>
  <c r="A832" i="17"/>
  <c r="A831" i="17"/>
  <c r="A830" i="17"/>
  <c r="A829" i="17"/>
  <c r="A828" i="17"/>
  <c r="A827" i="17"/>
  <c r="A826" i="17"/>
  <c r="A825" i="17"/>
  <c r="A824" i="17"/>
  <c r="A823" i="17"/>
  <c r="A822" i="17"/>
  <c r="A821" i="17"/>
  <c r="A820" i="17"/>
  <c r="A819" i="17"/>
  <c r="A818" i="17"/>
  <c r="A817" i="17"/>
  <c r="A816" i="17"/>
  <c r="A815" i="17"/>
  <c r="A814" i="17"/>
  <c r="A813" i="17"/>
  <c r="A812" i="17"/>
  <c r="A811" i="17"/>
  <c r="A810" i="17"/>
  <c r="A809" i="17"/>
  <c r="A808" i="17"/>
  <c r="A807" i="17"/>
  <c r="A806" i="17"/>
  <c r="A805" i="17"/>
  <c r="A804" i="17"/>
  <c r="A803" i="17"/>
  <c r="A802" i="17"/>
  <c r="A801" i="17"/>
  <c r="A800" i="17"/>
  <c r="A799" i="17"/>
  <c r="A798" i="17"/>
  <c r="A797" i="17"/>
  <c r="A796" i="17"/>
  <c r="A795" i="17"/>
  <c r="A794" i="17"/>
  <c r="A793" i="17"/>
  <c r="A792" i="17"/>
  <c r="A791" i="17"/>
  <c r="A790" i="17"/>
  <c r="A789" i="17"/>
  <c r="A788" i="17"/>
  <c r="A787" i="17"/>
  <c r="A786" i="17"/>
  <c r="A785" i="17"/>
  <c r="A784" i="17"/>
  <c r="A783" i="17"/>
  <c r="A782" i="17"/>
  <c r="A781" i="17"/>
  <c r="A780" i="17"/>
  <c r="A779" i="17"/>
  <c r="A778" i="17"/>
  <c r="A777" i="17"/>
  <c r="A776" i="17"/>
  <c r="A775" i="17"/>
  <c r="A774" i="17"/>
  <c r="A773" i="17"/>
  <c r="A772" i="17"/>
  <c r="A771" i="17"/>
  <c r="A770" i="17"/>
  <c r="A769" i="17"/>
  <c r="A768" i="17"/>
  <c r="A767" i="17"/>
  <c r="A766" i="17"/>
  <c r="A765" i="17"/>
  <c r="A764" i="17"/>
  <c r="A763" i="17"/>
  <c r="A762" i="17"/>
  <c r="A761" i="17"/>
  <c r="A760" i="17"/>
  <c r="A759" i="17"/>
  <c r="A758" i="17"/>
  <c r="A757" i="17"/>
  <c r="A756" i="17"/>
  <c r="A755" i="17"/>
  <c r="A754" i="17"/>
  <c r="A753" i="17"/>
  <c r="A752" i="17"/>
  <c r="A751" i="17"/>
  <c r="A750" i="17"/>
  <c r="A749" i="17"/>
  <c r="A748" i="17"/>
  <c r="A747" i="17"/>
  <c r="A746" i="17"/>
  <c r="A745" i="17"/>
  <c r="A744" i="17"/>
  <c r="A743" i="17"/>
  <c r="A742" i="17"/>
  <c r="A741" i="17"/>
  <c r="A740" i="17"/>
  <c r="A739" i="17"/>
  <c r="A738" i="17"/>
  <c r="A737" i="17"/>
  <c r="A736" i="17"/>
  <c r="A735" i="17"/>
  <c r="A734" i="17"/>
  <c r="A733" i="17"/>
  <c r="A732" i="17"/>
  <c r="A731" i="17"/>
  <c r="A730" i="17"/>
  <c r="A729" i="17"/>
  <c r="A728" i="17"/>
  <c r="A727" i="17"/>
  <c r="A726" i="17"/>
  <c r="A725" i="17"/>
  <c r="A724" i="17"/>
  <c r="A723" i="17"/>
  <c r="A722" i="17"/>
  <c r="A721" i="17"/>
  <c r="A720" i="17"/>
  <c r="A719" i="17"/>
  <c r="A718" i="17"/>
  <c r="A717" i="17"/>
  <c r="A716" i="17"/>
  <c r="A715" i="17"/>
  <c r="A714" i="17"/>
  <c r="A713" i="17"/>
  <c r="A712" i="17"/>
  <c r="A711" i="17"/>
  <c r="A710" i="17"/>
  <c r="A709" i="17"/>
  <c r="A708" i="17"/>
  <c r="A707" i="17"/>
  <c r="A706" i="17"/>
  <c r="A705" i="17"/>
  <c r="A704" i="17"/>
  <c r="A703" i="17"/>
  <c r="A702" i="17"/>
  <c r="A701" i="17"/>
  <c r="A700" i="17"/>
  <c r="A699" i="17"/>
  <c r="A698" i="17"/>
  <c r="A697" i="17"/>
  <c r="A696" i="17"/>
  <c r="A695" i="17"/>
  <c r="A694" i="17"/>
  <c r="A693" i="17"/>
  <c r="A692" i="17"/>
  <c r="A691" i="17"/>
  <c r="A690" i="17"/>
  <c r="A689" i="17"/>
  <c r="A688" i="17"/>
  <c r="A687" i="17"/>
  <c r="A686" i="17"/>
  <c r="A685" i="17"/>
  <c r="D272" i="34"/>
  <c r="A681" i="17" l="1"/>
  <c r="A680" i="17"/>
  <c r="A679" i="17"/>
  <c r="A678" i="17"/>
  <c r="A677" i="17"/>
  <c r="A676" i="17"/>
  <c r="A675" i="17"/>
  <c r="A674" i="17"/>
  <c r="A673" i="17"/>
  <c r="A672" i="17"/>
  <c r="A671" i="17"/>
  <c r="A670" i="17"/>
  <c r="A669" i="17"/>
  <c r="A668" i="17"/>
  <c r="A667" i="17"/>
  <c r="A666" i="17"/>
  <c r="A665" i="17"/>
  <c r="A664" i="17"/>
  <c r="A663" i="17"/>
  <c r="A662" i="17"/>
  <c r="A661" i="17"/>
  <c r="A660" i="17"/>
  <c r="A659" i="17"/>
  <c r="A658" i="17"/>
  <c r="A657" i="17"/>
  <c r="A656" i="17"/>
  <c r="A652" i="17"/>
  <c r="A648" i="17"/>
  <c r="A647" i="17"/>
  <c r="A646" i="17"/>
  <c r="A645" i="17"/>
  <c r="A590" i="17"/>
  <c r="A581" i="17"/>
  <c r="A498" i="17"/>
  <c r="A497" i="17"/>
  <c r="A496" i="17"/>
  <c r="A187" i="17"/>
  <c r="C371" i="39"/>
  <c r="G67" i="39"/>
  <c r="F67" i="39"/>
  <c r="D67" i="39"/>
  <c r="C67" i="39"/>
  <c r="O65" i="39"/>
  <c r="N65" i="39"/>
  <c r="L65" i="39"/>
  <c r="K65" i="39"/>
  <c r="J65" i="39"/>
  <c r="I65" i="39"/>
  <c r="F65" i="39"/>
  <c r="C65" i="39"/>
  <c r="C42" i="39"/>
  <c r="E32" i="39"/>
  <c r="D32" i="39"/>
  <c r="C32" i="39"/>
  <c r="N31" i="39"/>
  <c r="J31" i="39"/>
  <c r="G31" i="39"/>
  <c r="C31" i="39"/>
  <c r="C29" i="39"/>
  <c r="C27" i="39"/>
  <c r="C26" i="39"/>
  <c r="C25" i="39"/>
  <c r="C24" i="39"/>
  <c r="C22" i="39"/>
  <c r="C20" i="39"/>
  <c r="C18" i="39"/>
  <c r="C17" i="39"/>
  <c r="C16" i="39"/>
  <c r="C15" i="39"/>
  <c r="C13" i="39"/>
  <c r="C9" i="39"/>
  <c r="C8" i="39"/>
  <c r="C6" i="39"/>
  <c r="C2" i="39"/>
  <c r="C65" i="36"/>
  <c r="K7" i="36"/>
  <c r="I7" i="36"/>
  <c r="C4" i="36"/>
  <c r="Z95" i="35"/>
  <c r="Z63" i="35"/>
  <c r="Z25" i="35"/>
  <c r="Z11" i="35"/>
  <c r="C4" i="35"/>
  <c r="B2" i="35"/>
  <c r="D306" i="34"/>
  <c r="D301" i="34"/>
  <c r="D271" i="34"/>
  <c r="D265" i="34"/>
  <c r="D263" i="34"/>
  <c r="D260" i="34"/>
  <c r="D258" i="34"/>
  <c r="J109" i="34"/>
  <c r="G109" i="34"/>
  <c r="D105" i="34"/>
  <c r="D142" i="33"/>
  <c r="D134" i="33"/>
  <c r="D125" i="33"/>
  <c r="C124" i="33"/>
  <c r="C123" i="33"/>
  <c r="G118" i="33"/>
  <c r="G117" i="33"/>
  <c r="G116" i="33"/>
  <c r="G115" i="33"/>
  <c r="G114" i="33"/>
  <c r="G113" i="33"/>
  <c r="G112" i="33"/>
  <c r="G111" i="33"/>
  <c r="G110" i="33"/>
  <c r="G109" i="33"/>
  <c r="G108" i="33"/>
  <c r="D107" i="33"/>
  <c r="D106" i="33"/>
  <c r="D64" i="33"/>
  <c r="D50" i="33"/>
  <c r="D47" i="33"/>
  <c r="D38" i="33"/>
  <c r="D36" i="33"/>
  <c r="D34" i="33"/>
  <c r="D32" i="33"/>
  <c r="D30" i="33"/>
  <c r="D23" i="33"/>
  <c r="D22" i="33"/>
  <c r="D19" i="33"/>
  <c r="D14" i="33"/>
  <c r="D13" i="33"/>
  <c r="D11" i="33"/>
  <c r="D10" i="33"/>
  <c r="D5" i="33"/>
  <c r="B156" i="10"/>
  <c r="B139" i="10"/>
  <c r="B116" i="10"/>
  <c r="C89" i="10"/>
  <c r="C88" i="10"/>
  <c r="C87" i="10"/>
  <c r="B76" i="10"/>
  <c r="B68" i="10"/>
  <c r="B64" i="10"/>
  <c r="B63" i="10"/>
  <c r="B47" i="10"/>
  <c r="B37" i="10"/>
  <c r="B12" i="10"/>
  <c r="B9" i="10"/>
  <c r="B6" i="10"/>
  <c r="B4" i="10"/>
  <c r="B80" i="9"/>
  <c r="B78" i="9"/>
  <c r="B76" i="9"/>
  <c r="B35" i="9"/>
  <c r="B33" i="9"/>
  <c r="B31" i="9"/>
  <c r="B23" i="9"/>
  <c r="B15" i="9"/>
  <c r="U267" i="34" l="1"/>
  <c r="U258" i="34"/>
  <c r="E109" i="34"/>
  <c r="D109" i="34"/>
  <c r="M7" i="33" l="1"/>
  <c r="Z91" i="35"/>
  <c r="Z16" i="35" s="1"/>
  <c r="Z15" i="35" s="1"/>
  <c r="Z13" i="35" s="1"/>
  <c r="E206" i="34"/>
  <c r="G206" i="34" l="1"/>
  <c r="I206" i="34" s="1"/>
  <c r="M17" i="39" l="1"/>
  <c r="M18" i="39" s="1"/>
  <c r="M368" i="39"/>
  <c r="N368" i="39" s="1"/>
  <c r="M367" i="39"/>
  <c r="N367" i="39" s="1"/>
  <c r="M366" i="39"/>
  <c r="N366" i="39" s="1"/>
  <c r="M365" i="39"/>
  <c r="N365" i="39" s="1"/>
  <c r="M364" i="39"/>
  <c r="N364" i="39" s="1"/>
  <c r="M363" i="39"/>
  <c r="N363" i="39" s="1"/>
  <c r="M362" i="39"/>
  <c r="N362" i="39" s="1"/>
  <c r="M361" i="39"/>
  <c r="N361" i="39" s="1"/>
  <c r="M360" i="39"/>
  <c r="N360" i="39" s="1"/>
  <c r="M359" i="39"/>
  <c r="N359" i="39" s="1"/>
  <c r="M358" i="39"/>
  <c r="N358" i="39" s="1"/>
  <c r="M357" i="39"/>
  <c r="N357" i="39" s="1"/>
  <c r="M356" i="39"/>
  <c r="N356" i="39" s="1"/>
  <c r="M355" i="39"/>
  <c r="N355" i="39" s="1"/>
  <c r="M354" i="39"/>
  <c r="N354" i="39" s="1"/>
  <c r="M353" i="39"/>
  <c r="N353" i="39" s="1"/>
  <c r="M352" i="39"/>
  <c r="N352" i="39" s="1"/>
  <c r="M351" i="39"/>
  <c r="N351" i="39" s="1"/>
  <c r="M350" i="39"/>
  <c r="N350" i="39" s="1"/>
  <c r="M349" i="39"/>
  <c r="N349" i="39" s="1"/>
  <c r="M348" i="39"/>
  <c r="N348" i="39" s="1"/>
  <c r="M347" i="39"/>
  <c r="N347" i="39" s="1"/>
  <c r="M346" i="39"/>
  <c r="N346" i="39" s="1"/>
  <c r="M345" i="39"/>
  <c r="N345" i="39" s="1"/>
  <c r="M344" i="39"/>
  <c r="N344" i="39" s="1"/>
  <c r="M343" i="39"/>
  <c r="N343" i="39" s="1"/>
  <c r="M342" i="39"/>
  <c r="N342" i="39" s="1"/>
  <c r="M341" i="39"/>
  <c r="N341" i="39" s="1"/>
  <c r="M340" i="39"/>
  <c r="N340" i="39" s="1"/>
  <c r="M339" i="39"/>
  <c r="N339" i="39" s="1"/>
  <c r="M338" i="39"/>
  <c r="N338" i="39" s="1"/>
  <c r="M337" i="39"/>
  <c r="N337" i="39" s="1"/>
  <c r="M336" i="39"/>
  <c r="N336" i="39" s="1"/>
  <c r="M335" i="39"/>
  <c r="N335" i="39" s="1"/>
  <c r="M334" i="39"/>
  <c r="N334" i="39" s="1"/>
  <c r="M333" i="39"/>
  <c r="N333" i="39" s="1"/>
  <c r="M332" i="39"/>
  <c r="N332" i="39" s="1"/>
  <c r="M331" i="39"/>
  <c r="N331" i="39" s="1"/>
  <c r="M330" i="39"/>
  <c r="N330" i="39" s="1"/>
  <c r="M329" i="39"/>
  <c r="N329" i="39" s="1"/>
  <c r="M328" i="39"/>
  <c r="N328" i="39" s="1"/>
  <c r="M327" i="39"/>
  <c r="N327" i="39" s="1"/>
  <c r="M326" i="39"/>
  <c r="N326" i="39" s="1"/>
  <c r="M325" i="39"/>
  <c r="N325" i="39" s="1"/>
  <c r="M324" i="39"/>
  <c r="N324" i="39" s="1"/>
  <c r="M323" i="39"/>
  <c r="N323" i="39" s="1"/>
  <c r="M322" i="39"/>
  <c r="N322" i="39" s="1"/>
  <c r="M321" i="39"/>
  <c r="N321" i="39" s="1"/>
  <c r="M320" i="39"/>
  <c r="N320" i="39" s="1"/>
  <c r="M319" i="39"/>
  <c r="N319" i="39" s="1"/>
  <c r="M318" i="39"/>
  <c r="N318" i="39" s="1"/>
  <c r="M317" i="39"/>
  <c r="N317" i="39" s="1"/>
  <c r="M316" i="39"/>
  <c r="N316" i="39" s="1"/>
  <c r="M315" i="39"/>
  <c r="N315" i="39" s="1"/>
  <c r="M314" i="39"/>
  <c r="N314" i="39" s="1"/>
  <c r="M313" i="39"/>
  <c r="N313" i="39" s="1"/>
  <c r="M312" i="39"/>
  <c r="N312" i="39" s="1"/>
  <c r="M311" i="39"/>
  <c r="N311" i="39" s="1"/>
  <c r="M310" i="39"/>
  <c r="N310" i="39" s="1"/>
  <c r="M309" i="39"/>
  <c r="N309" i="39" s="1"/>
  <c r="M308" i="39"/>
  <c r="N308" i="39" s="1"/>
  <c r="M307" i="39"/>
  <c r="N307" i="39" s="1"/>
  <c r="M306" i="39"/>
  <c r="N306" i="39" s="1"/>
  <c r="M305" i="39"/>
  <c r="N305" i="39" s="1"/>
  <c r="M304" i="39"/>
  <c r="N304" i="39" s="1"/>
  <c r="M303" i="39"/>
  <c r="N303" i="39" s="1"/>
  <c r="M302" i="39"/>
  <c r="N302" i="39" s="1"/>
  <c r="M301" i="39"/>
  <c r="N301" i="39" s="1"/>
  <c r="M300" i="39"/>
  <c r="N300" i="39" s="1"/>
  <c r="M299" i="39"/>
  <c r="N299" i="39" s="1"/>
  <c r="M298" i="39"/>
  <c r="N298" i="39" s="1"/>
  <c r="M297" i="39"/>
  <c r="N297" i="39" s="1"/>
  <c r="M296" i="39"/>
  <c r="N296" i="39" s="1"/>
  <c r="M295" i="39"/>
  <c r="N295" i="39" s="1"/>
  <c r="M294" i="39"/>
  <c r="N294" i="39" s="1"/>
  <c r="M293" i="39"/>
  <c r="N293" i="39" s="1"/>
  <c r="M292" i="39"/>
  <c r="N292" i="39" s="1"/>
  <c r="M291" i="39"/>
  <c r="N291" i="39" s="1"/>
  <c r="M290" i="39"/>
  <c r="N290" i="39" s="1"/>
  <c r="M289" i="39"/>
  <c r="N289" i="39" s="1"/>
  <c r="M288" i="39"/>
  <c r="N288" i="39" s="1"/>
  <c r="M287" i="39"/>
  <c r="N287" i="39" s="1"/>
  <c r="M286" i="39"/>
  <c r="N286" i="39" s="1"/>
  <c r="M285" i="39"/>
  <c r="N285" i="39" s="1"/>
  <c r="M284" i="39"/>
  <c r="N284" i="39" s="1"/>
  <c r="M283" i="39"/>
  <c r="N283" i="39" s="1"/>
  <c r="M282" i="39"/>
  <c r="N282" i="39" s="1"/>
  <c r="M281" i="39"/>
  <c r="N281" i="39" s="1"/>
  <c r="M280" i="39"/>
  <c r="N280" i="39" s="1"/>
  <c r="M279" i="39"/>
  <c r="N279" i="39" s="1"/>
  <c r="M278" i="39"/>
  <c r="N278" i="39" s="1"/>
  <c r="M277" i="39"/>
  <c r="N277" i="39" s="1"/>
  <c r="M276" i="39"/>
  <c r="N276" i="39" s="1"/>
  <c r="M275" i="39"/>
  <c r="N275" i="39" s="1"/>
  <c r="M274" i="39"/>
  <c r="N274" i="39" s="1"/>
  <c r="M273" i="39"/>
  <c r="N273" i="39" s="1"/>
  <c r="M272" i="39"/>
  <c r="N272" i="39" s="1"/>
  <c r="M271" i="39"/>
  <c r="N271" i="39" s="1"/>
  <c r="M270" i="39"/>
  <c r="N270" i="39" s="1"/>
  <c r="M269" i="39"/>
  <c r="N269" i="39" s="1"/>
  <c r="M268" i="39"/>
  <c r="N268" i="39" s="1"/>
  <c r="M267" i="39"/>
  <c r="N267" i="39" s="1"/>
  <c r="M266" i="39"/>
  <c r="N266" i="39" s="1"/>
  <c r="M265" i="39"/>
  <c r="N265" i="39" s="1"/>
  <c r="M264" i="39"/>
  <c r="N264" i="39" s="1"/>
  <c r="M263" i="39"/>
  <c r="N263" i="39" s="1"/>
  <c r="M262" i="39"/>
  <c r="N262" i="39" s="1"/>
  <c r="M261" i="39"/>
  <c r="N261" i="39" s="1"/>
  <c r="M260" i="39"/>
  <c r="N260" i="39" s="1"/>
  <c r="M259" i="39"/>
  <c r="N259" i="39" s="1"/>
  <c r="M258" i="39"/>
  <c r="N258" i="39" s="1"/>
  <c r="M257" i="39"/>
  <c r="N257" i="39" s="1"/>
  <c r="M256" i="39"/>
  <c r="N256" i="39" s="1"/>
  <c r="M255" i="39"/>
  <c r="N255" i="39" s="1"/>
  <c r="M254" i="39"/>
  <c r="N254" i="39" s="1"/>
  <c r="M253" i="39"/>
  <c r="N253" i="39" s="1"/>
  <c r="M252" i="39"/>
  <c r="N252" i="39" s="1"/>
  <c r="M251" i="39"/>
  <c r="N251" i="39" s="1"/>
  <c r="M250" i="39"/>
  <c r="N250" i="39" s="1"/>
  <c r="M249" i="39"/>
  <c r="N249" i="39" s="1"/>
  <c r="M248" i="39"/>
  <c r="N248" i="39" s="1"/>
  <c r="M247" i="39"/>
  <c r="N247" i="39" s="1"/>
  <c r="M246" i="39"/>
  <c r="N246" i="39" s="1"/>
  <c r="M245" i="39"/>
  <c r="N245" i="39" s="1"/>
  <c r="M244" i="39"/>
  <c r="N244" i="39" s="1"/>
  <c r="M243" i="39"/>
  <c r="N243" i="39" s="1"/>
  <c r="M242" i="39"/>
  <c r="N242" i="39" s="1"/>
  <c r="M241" i="39"/>
  <c r="N241" i="39" s="1"/>
  <c r="M240" i="39"/>
  <c r="N240" i="39" s="1"/>
  <c r="M239" i="39"/>
  <c r="N239" i="39" s="1"/>
  <c r="M238" i="39"/>
  <c r="N238" i="39" s="1"/>
  <c r="M237" i="39"/>
  <c r="N237" i="39" s="1"/>
  <c r="M236" i="39"/>
  <c r="N236" i="39" s="1"/>
  <c r="M235" i="39"/>
  <c r="N235" i="39" s="1"/>
  <c r="M234" i="39"/>
  <c r="N234" i="39" s="1"/>
  <c r="M233" i="39"/>
  <c r="N233" i="39" s="1"/>
  <c r="M232" i="39"/>
  <c r="N232" i="39" s="1"/>
  <c r="M231" i="39"/>
  <c r="N231" i="39" s="1"/>
  <c r="M230" i="39"/>
  <c r="N230" i="39" s="1"/>
  <c r="M229" i="39"/>
  <c r="N229" i="39" s="1"/>
  <c r="M228" i="39"/>
  <c r="N228" i="39" s="1"/>
  <c r="M227" i="39"/>
  <c r="N227" i="39" s="1"/>
  <c r="M226" i="39"/>
  <c r="N226" i="39" s="1"/>
  <c r="M225" i="39"/>
  <c r="N225" i="39" s="1"/>
  <c r="M224" i="39"/>
  <c r="N224" i="39" s="1"/>
  <c r="M223" i="39"/>
  <c r="N223" i="39" s="1"/>
  <c r="M222" i="39"/>
  <c r="N222" i="39" s="1"/>
  <c r="M221" i="39"/>
  <c r="N221" i="39" s="1"/>
  <c r="M220" i="39"/>
  <c r="N220" i="39" s="1"/>
  <c r="M219" i="39"/>
  <c r="N219" i="39" s="1"/>
  <c r="M218" i="39"/>
  <c r="N218" i="39" s="1"/>
  <c r="M217" i="39"/>
  <c r="N217" i="39" s="1"/>
  <c r="M216" i="39"/>
  <c r="N216" i="39" s="1"/>
  <c r="M215" i="39"/>
  <c r="N215" i="39" s="1"/>
  <c r="M214" i="39"/>
  <c r="N214" i="39" s="1"/>
  <c r="M213" i="39"/>
  <c r="N213" i="39" s="1"/>
  <c r="M212" i="39"/>
  <c r="N212" i="39" s="1"/>
  <c r="M211" i="39"/>
  <c r="N211" i="39" s="1"/>
  <c r="M210" i="39"/>
  <c r="N210" i="39" s="1"/>
  <c r="M209" i="39"/>
  <c r="N209" i="39" s="1"/>
  <c r="M208" i="39"/>
  <c r="N208" i="39" s="1"/>
  <c r="M207" i="39"/>
  <c r="N207" i="39" s="1"/>
  <c r="M206" i="39"/>
  <c r="N206" i="39" s="1"/>
  <c r="M205" i="39"/>
  <c r="N205" i="39" s="1"/>
  <c r="M204" i="39"/>
  <c r="N204" i="39" s="1"/>
  <c r="M203" i="39"/>
  <c r="N203" i="39" s="1"/>
  <c r="M202" i="39"/>
  <c r="N202" i="39" s="1"/>
  <c r="M201" i="39"/>
  <c r="N201" i="39" s="1"/>
  <c r="M200" i="39"/>
  <c r="N200" i="39" s="1"/>
  <c r="M199" i="39"/>
  <c r="N199" i="39" s="1"/>
  <c r="M198" i="39"/>
  <c r="N198" i="39" s="1"/>
  <c r="M197" i="39"/>
  <c r="N197" i="39" s="1"/>
  <c r="M196" i="39"/>
  <c r="N196" i="39" s="1"/>
  <c r="M195" i="39"/>
  <c r="N195" i="39" s="1"/>
  <c r="M194" i="39"/>
  <c r="N194" i="39" s="1"/>
  <c r="M193" i="39"/>
  <c r="N193" i="39" s="1"/>
  <c r="M192" i="39"/>
  <c r="N192" i="39" s="1"/>
  <c r="M191" i="39"/>
  <c r="N191" i="39" s="1"/>
  <c r="M190" i="39"/>
  <c r="N190" i="39" s="1"/>
  <c r="M189" i="39"/>
  <c r="N189" i="39" s="1"/>
  <c r="M188" i="39"/>
  <c r="N188" i="39" s="1"/>
  <c r="M187" i="39"/>
  <c r="N187" i="39" s="1"/>
  <c r="M186" i="39"/>
  <c r="N186" i="39" s="1"/>
  <c r="M185" i="39"/>
  <c r="N185" i="39" s="1"/>
  <c r="M184" i="39"/>
  <c r="N184" i="39" s="1"/>
  <c r="M183" i="39"/>
  <c r="N183" i="39" s="1"/>
  <c r="M182" i="39"/>
  <c r="N182" i="39" s="1"/>
  <c r="M181" i="39"/>
  <c r="N181" i="39" s="1"/>
  <c r="M180" i="39"/>
  <c r="N180" i="39" s="1"/>
  <c r="M179" i="39"/>
  <c r="N179" i="39" s="1"/>
  <c r="M178" i="39"/>
  <c r="N178" i="39" s="1"/>
  <c r="M177" i="39"/>
  <c r="N177" i="39" s="1"/>
  <c r="M176" i="39"/>
  <c r="N176" i="39" s="1"/>
  <c r="M175" i="39"/>
  <c r="N175" i="39" s="1"/>
  <c r="M174" i="39"/>
  <c r="N174" i="39" s="1"/>
  <c r="M173" i="39"/>
  <c r="N173" i="39" s="1"/>
  <c r="M172" i="39"/>
  <c r="N172" i="39" s="1"/>
  <c r="M171" i="39"/>
  <c r="N171" i="39" s="1"/>
  <c r="M170" i="39"/>
  <c r="N170" i="39" s="1"/>
  <c r="M169" i="39"/>
  <c r="N169" i="39" s="1"/>
  <c r="M168" i="39"/>
  <c r="N168" i="39" s="1"/>
  <c r="M167" i="39"/>
  <c r="N167" i="39" s="1"/>
  <c r="M166" i="39"/>
  <c r="N166" i="39" s="1"/>
  <c r="M165" i="39"/>
  <c r="N165" i="39" s="1"/>
  <c r="M164" i="39"/>
  <c r="N164" i="39" s="1"/>
  <c r="M163" i="39"/>
  <c r="N163" i="39" s="1"/>
  <c r="M162" i="39"/>
  <c r="N162" i="39" s="1"/>
  <c r="M161" i="39"/>
  <c r="N161" i="39" s="1"/>
  <c r="M160" i="39"/>
  <c r="N160" i="39" s="1"/>
  <c r="M159" i="39"/>
  <c r="N159" i="39" s="1"/>
  <c r="M158" i="39"/>
  <c r="N158" i="39" s="1"/>
  <c r="M157" i="39"/>
  <c r="N157" i="39" s="1"/>
  <c r="M156" i="39"/>
  <c r="N156" i="39" s="1"/>
  <c r="M155" i="39"/>
  <c r="N155" i="39" s="1"/>
  <c r="M154" i="39"/>
  <c r="N154" i="39" s="1"/>
  <c r="M153" i="39"/>
  <c r="N153" i="39" s="1"/>
  <c r="M152" i="39"/>
  <c r="N152" i="39" s="1"/>
  <c r="M151" i="39"/>
  <c r="N151" i="39" s="1"/>
  <c r="M150" i="39"/>
  <c r="N150" i="39" s="1"/>
  <c r="M149" i="39"/>
  <c r="N149" i="39" s="1"/>
  <c r="M148" i="39"/>
  <c r="N148" i="39" s="1"/>
  <c r="M147" i="39"/>
  <c r="N147" i="39" s="1"/>
  <c r="M146" i="39"/>
  <c r="N146" i="39" s="1"/>
  <c r="M145" i="39"/>
  <c r="N145" i="39" s="1"/>
  <c r="M144" i="39"/>
  <c r="N144" i="39" s="1"/>
  <c r="M143" i="39"/>
  <c r="N143" i="39" s="1"/>
  <c r="M142" i="39"/>
  <c r="N142" i="39" s="1"/>
  <c r="M141" i="39"/>
  <c r="N141" i="39" s="1"/>
  <c r="M140" i="39"/>
  <c r="N140" i="39" s="1"/>
  <c r="M139" i="39"/>
  <c r="N139" i="39" s="1"/>
  <c r="M138" i="39"/>
  <c r="N138" i="39" s="1"/>
  <c r="M137" i="39"/>
  <c r="N137" i="39" s="1"/>
  <c r="M136" i="39"/>
  <c r="N136" i="39" s="1"/>
  <c r="M135" i="39"/>
  <c r="N135" i="39" s="1"/>
  <c r="M134" i="39"/>
  <c r="N134" i="39" s="1"/>
  <c r="M133" i="39"/>
  <c r="N133" i="39" s="1"/>
  <c r="M132" i="39"/>
  <c r="N132" i="39" s="1"/>
  <c r="M131" i="39"/>
  <c r="N131" i="39" s="1"/>
  <c r="M130" i="39"/>
  <c r="N130" i="39" s="1"/>
  <c r="M129" i="39"/>
  <c r="N129" i="39" s="1"/>
  <c r="M128" i="39"/>
  <c r="N128" i="39" s="1"/>
  <c r="M127" i="39"/>
  <c r="N127" i="39" s="1"/>
  <c r="M126" i="39"/>
  <c r="N126" i="39" s="1"/>
  <c r="M125" i="39"/>
  <c r="N125" i="39" s="1"/>
  <c r="M124" i="39"/>
  <c r="N124" i="39" s="1"/>
  <c r="M123" i="39"/>
  <c r="N123" i="39" s="1"/>
  <c r="M122" i="39"/>
  <c r="N122" i="39" s="1"/>
  <c r="M121" i="39"/>
  <c r="N121" i="39" s="1"/>
  <c r="M120" i="39"/>
  <c r="N120" i="39" s="1"/>
  <c r="M119" i="39"/>
  <c r="N119" i="39" s="1"/>
  <c r="M118" i="39"/>
  <c r="N118" i="39" s="1"/>
  <c r="M117" i="39"/>
  <c r="N117" i="39" s="1"/>
  <c r="M116" i="39"/>
  <c r="N116" i="39" s="1"/>
  <c r="M115" i="39"/>
  <c r="N115" i="39" s="1"/>
  <c r="M114" i="39"/>
  <c r="N114" i="39" s="1"/>
  <c r="M113" i="39"/>
  <c r="N113" i="39" s="1"/>
  <c r="M112" i="39"/>
  <c r="N112" i="39" s="1"/>
  <c r="M111" i="39"/>
  <c r="N111" i="39" s="1"/>
  <c r="M110" i="39"/>
  <c r="N110" i="39" s="1"/>
  <c r="M109" i="39"/>
  <c r="N109" i="39" s="1"/>
  <c r="M108" i="39"/>
  <c r="N108" i="39" s="1"/>
  <c r="M107" i="39"/>
  <c r="N107" i="39" s="1"/>
  <c r="M106" i="39"/>
  <c r="N106" i="39" s="1"/>
  <c r="M105" i="39"/>
  <c r="N105" i="39" s="1"/>
  <c r="M104" i="39"/>
  <c r="N104" i="39" s="1"/>
  <c r="M103" i="39"/>
  <c r="N103" i="39" s="1"/>
  <c r="M102" i="39"/>
  <c r="N102" i="39" s="1"/>
  <c r="M101" i="39"/>
  <c r="N101" i="39" s="1"/>
  <c r="M100" i="39"/>
  <c r="N100" i="39" s="1"/>
  <c r="M99" i="39"/>
  <c r="N99" i="39" s="1"/>
  <c r="M98" i="39"/>
  <c r="N98" i="39" s="1"/>
  <c r="M97" i="39"/>
  <c r="N97" i="39" s="1"/>
  <c r="M96" i="39"/>
  <c r="N96" i="39" s="1"/>
  <c r="M95" i="39"/>
  <c r="N95" i="39" s="1"/>
  <c r="M94" i="39"/>
  <c r="N94" i="39" s="1"/>
  <c r="M93" i="39"/>
  <c r="N93" i="39" s="1"/>
  <c r="M92" i="39"/>
  <c r="N92" i="39" s="1"/>
  <c r="M91" i="39"/>
  <c r="N91" i="39" s="1"/>
  <c r="M90" i="39"/>
  <c r="N90" i="39" s="1"/>
  <c r="M89" i="39"/>
  <c r="N89" i="39" s="1"/>
  <c r="M88" i="39"/>
  <c r="N88" i="39" s="1"/>
  <c r="M87" i="39"/>
  <c r="N87" i="39" s="1"/>
  <c r="M86" i="39"/>
  <c r="N86" i="39" s="1"/>
  <c r="M85" i="39"/>
  <c r="N85" i="39" s="1"/>
  <c r="M84" i="39"/>
  <c r="N84" i="39" s="1"/>
  <c r="M83" i="39"/>
  <c r="N83" i="39" s="1"/>
  <c r="M82" i="39"/>
  <c r="N82" i="39" s="1"/>
  <c r="M81" i="39"/>
  <c r="N81" i="39" s="1"/>
  <c r="M80" i="39"/>
  <c r="N80" i="39" s="1"/>
  <c r="M79" i="39"/>
  <c r="N79" i="39" s="1"/>
  <c r="M78" i="39"/>
  <c r="N78" i="39" s="1"/>
  <c r="M77" i="39"/>
  <c r="N77" i="39" s="1"/>
  <c r="M76" i="39"/>
  <c r="N76" i="39" s="1"/>
  <c r="M75" i="39"/>
  <c r="N75" i="39" s="1"/>
  <c r="M74" i="39"/>
  <c r="N74" i="39" s="1"/>
  <c r="M73" i="39"/>
  <c r="N73" i="39" s="1"/>
  <c r="M72" i="39"/>
  <c r="N72" i="39" s="1"/>
  <c r="M71" i="39"/>
  <c r="N71" i="39" s="1"/>
  <c r="G204" i="34"/>
  <c r="I204" i="34" s="1"/>
  <c r="G205" i="34"/>
  <c r="I205" i="34" s="1"/>
  <c r="E204" i="34"/>
  <c r="E203" i="34"/>
  <c r="L39" i="39"/>
  <c r="M19" i="39" s="1"/>
  <c r="G82" i="9" s="1"/>
  <c r="M70" i="39" l="1"/>
  <c r="N70" i="39" s="1"/>
  <c r="M15" i="39" s="1"/>
  <c r="G78" i="9" s="1"/>
  <c r="E205" i="34"/>
  <c r="M16" i="39" l="1"/>
  <c r="G80" i="9" s="1"/>
  <c r="H25" i="39"/>
  <c r="H26" i="39"/>
  <c r="H27" i="39"/>
  <c r="H24" i="39"/>
  <c r="F31" i="9" l="1"/>
  <c r="F33" i="9"/>
  <c r="M38" i="33"/>
  <c r="M34" i="33"/>
  <c r="M32" i="33"/>
  <c r="M30" i="33"/>
  <c r="B32" i="9" l="1"/>
  <c r="B29" i="9"/>
  <c r="A642" i="17"/>
  <c r="A641" i="17"/>
  <c r="A640" i="17"/>
  <c r="A639" i="17"/>
  <c r="A638" i="17"/>
  <c r="A637" i="17"/>
  <c r="A636" i="17"/>
  <c r="A635" i="17"/>
  <c r="A634" i="17"/>
  <c r="A633" i="17"/>
  <c r="A631" i="17"/>
  <c r="A630" i="17"/>
  <c r="A629" i="17"/>
  <c r="A628" i="17"/>
  <c r="A627" i="17"/>
  <c r="A626" i="17"/>
  <c r="A625" i="17"/>
  <c r="A624" i="17"/>
  <c r="A623" i="17"/>
  <c r="A622" i="17"/>
  <c r="A621" i="17"/>
  <c r="A620" i="17"/>
  <c r="A619" i="17"/>
  <c r="A618" i="17"/>
  <c r="A617" i="17"/>
  <c r="A616" i="17"/>
  <c r="A615" i="17"/>
  <c r="A614" i="17"/>
  <c r="A613" i="17"/>
  <c r="A612" i="17"/>
  <c r="A611" i="17"/>
  <c r="A610" i="17"/>
  <c r="A609" i="17"/>
  <c r="A608" i="17"/>
  <c r="A607" i="17"/>
  <c r="A606" i="17"/>
  <c r="A605" i="17"/>
  <c r="A604" i="17"/>
  <c r="A603" i="17"/>
  <c r="A602" i="17"/>
  <c r="A601" i="17"/>
  <c r="A600" i="17"/>
  <c r="A599" i="17"/>
  <c r="A598" i="17"/>
  <c r="A597" i="17"/>
  <c r="A596" i="17"/>
  <c r="A595" i="17"/>
  <c r="A594" i="17"/>
  <c r="A593" i="17"/>
  <c r="A592" i="17"/>
  <c r="A591" i="17"/>
  <c r="A589" i="17"/>
  <c r="A588" i="17"/>
  <c r="A587" i="17"/>
  <c r="A586" i="17"/>
  <c r="A585" i="17"/>
  <c r="A584" i="17"/>
  <c r="A583" i="17"/>
  <c r="A582" i="17"/>
  <c r="A580" i="17"/>
  <c r="A579" i="17"/>
  <c r="A578" i="17"/>
  <c r="A577" i="17"/>
  <c r="A576" i="17"/>
  <c r="A575" i="17"/>
  <c r="A574" i="17"/>
  <c r="A573" i="17"/>
  <c r="A572" i="17"/>
  <c r="A571" i="17"/>
  <c r="A570" i="17"/>
  <c r="A569" i="17"/>
  <c r="A568" i="17"/>
  <c r="A567" i="17"/>
  <c r="A566" i="17"/>
  <c r="A565" i="17"/>
  <c r="A564" i="17"/>
  <c r="A563" i="17"/>
  <c r="A562" i="17"/>
  <c r="A561" i="17"/>
  <c r="A560" i="17"/>
  <c r="A559" i="17"/>
  <c r="A558" i="17"/>
  <c r="A557" i="17"/>
  <c r="A556" i="17"/>
  <c r="A555" i="17"/>
  <c r="A554" i="17"/>
  <c r="A553" i="17"/>
  <c r="A552" i="17"/>
  <c r="A551" i="17"/>
  <c r="A550" i="17"/>
  <c r="A549" i="17"/>
  <c r="A548" i="17"/>
  <c r="A547" i="17"/>
  <c r="A546" i="17"/>
  <c r="A545" i="17"/>
  <c r="A544" i="17"/>
  <c r="A543" i="17"/>
  <c r="A542" i="17"/>
  <c r="A541" i="17"/>
  <c r="A540" i="17"/>
  <c r="A539" i="17"/>
  <c r="A538" i="17"/>
  <c r="A537" i="17"/>
  <c r="A536" i="17"/>
  <c r="A535" i="17"/>
  <c r="A534" i="17"/>
  <c r="A533" i="17"/>
  <c r="A532" i="17"/>
  <c r="A531" i="17"/>
  <c r="A530" i="17"/>
  <c r="A529" i="17"/>
  <c r="A528" i="17"/>
  <c r="A526" i="17"/>
  <c r="A511" i="17"/>
  <c r="A510" i="17"/>
  <c r="A509" i="17"/>
  <c r="A508" i="17"/>
  <c r="A507" i="17"/>
  <c r="A495" i="17"/>
  <c r="A491" i="17"/>
  <c r="A485" i="17"/>
  <c r="A484" i="17"/>
  <c r="A483" i="17"/>
  <c r="A482" i="17"/>
  <c r="A481" i="17"/>
  <c r="A477" i="17"/>
  <c r="A476" i="17"/>
  <c r="A475" i="17"/>
  <c r="A474" i="17"/>
  <c r="A470" i="17"/>
  <c r="A469" i="17"/>
  <c r="A468" i="17"/>
  <c r="A465" i="17"/>
  <c r="A464" i="17"/>
  <c r="A463" i="17"/>
  <c r="A462" i="17"/>
  <c r="A456" i="17"/>
  <c r="A450" i="17"/>
  <c r="A447" i="17"/>
  <c r="A444" i="17"/>
  <c r="A443" i="17"/>
  <c r="A442" i="17"/>
  <c r="A441" i="17"/>
  <c r="A440" i="17"/>
  <c r="A439" i="17"/>
  <c r="A436" i="17"/>
  <c r="A435" i="17"/>
  <c r="A434" i="17"/>
  <c r="A433" i="17"/>
  <c r="A431" i="17"/>
  <c r="A428" i="17"/>
  <c r="A427" i="17"/>
  <c r="A426" i="17"/>
  <c r="A425" i="17"/>
  <c r="A423" i="17"/>
  <c r="A420" i="17"/>
  <c r="A419" i="17"/>
  <c r="A418" i="17"/>
  <c r="A407" i="17"/>
  <c r="A406" i="17"/>
  <c r="A403" i="17"/>
  <c r="A398" i="17"/>
  <c r="A397" i="17"/>
  <c r="A393" i="17"/>
  <c r="A392" i="17"/>
  <c r="A383" i="17"/>
  <c r="A379" i="17"/>
  <c r="A378" i="17"/>
  <c r="A377" i="17"/>
  <c r="A376" i="17"/>
  <c r="A362" i="17"/>
  <c r="A361" i="17"/>
  <c r="A360" i="17"/>
  <c r="A357" i="17"/>
  <c r="A356" i="17"/>
  <c r="A355" i="17"/>
  <c r="A352" i="17"/>
  <c r="A351" i="17"/>
  <c r="A350" i="17"/>
  <c r="A348" i="17"/>
  <c r="A345" i="17"/>
  <c r="A344" i="17"/>
  <c r="A343" i="17"/>
  <c r="A342" i="17"/>
  <c r="A341" i="17"/>
  <c r="A340" i="17"/>
  <c r="A338" i="17"/>
  <c r="A334" i="17"/>
  <c r="A333" i="17"/>
  <c r="A332" i="17"/>
  <c r="A328" i="17"/>
  <c r="A327" i="17"/>
  <c r="A326" i="17"/>
  <c r="A325" i="17"/>
  <c r="A321" i="17"/>
  <c r="A320" i="17"/>
  <c r="A319" i="17"/>
  <c r="A310" i="17"/>
  <c r="A309" i="17"/>
  <c r="A308" i="17"/>
  <c r="A307" i="17"/>
  <c r="A306" i="17"/>
  <c r="A301" i="17"/>
  <c r="A300" i="17"/>
  <c r="A299" i="17"/>
  <c r="A298" i="17"/>
  <c r="A297" i="17"/>
  <c r="A296" i="17"/>
  <c r="A295" i="17"/>
  <c r="A294" i="17"/>
  <c r="A293" i="17"/>
  <c r="A292" i="17"/>
  <c r="A291" i="17"/>
  <c r="A290" i="17"/>
  <c r="A289" i="17"/>
  <c r="A288" i="17"/>
  <c r="A287" i="17"/>
  <c r="A286" i="17"/>
  <c r="A285" i="17"/>
  <c r="A284" i="17"/>
  <c r="A283" i="17"/>
  <c r="A282"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2" i="17"/>
  <c r="A241" i="17"/>
  <c r="A240" i="17"/>
  <c r="A239" i="17"/>
  <c r="A238" i="17"/>
  <c r="A237" i="17"/>
  <c r="A236" i="17"/>
  <c r="A235" i="17"/>
  <c r="A234" i="17"/>
  <c r="A233" i="17"/>
  <c r="A232" i="17"/>
  <c r="A231" i="17"/>
  <c r="A230" i="17"/>
  <c r="A229" i="17"/>
  <c r="A228" i="17"/>
  <c r="A227" i="17"/>
  <c r="A226" i="17"/>
  <c r="A225"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9" i="17"/>
  <c r="A188"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3"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4" i="17"/>
  <c r="A22" i="17"/>
  <c r="A20" i="17"/>
  <c r="C118" i="38"/>
  <c r="C117" i="38"/>
  <c r="H116" i="38"/>
  <c r="E116" i="38"/>
  <c r="C115" i="38"/>
  <c r="H113" i="38"/>
  <c r="H117" i="38" s="1"/>
  <c r="E113" i="38"/>
  <c r="E117" i="38" s="1"/>
  <c r="D113" i="38"/>
  <c r="C113" i="38"/>
  <c r="D32" i="38"/>
  <c r="C32" i="38"/>
  <c r="H31" i="38"/>
  <c r="E31" i="38"/>
  <c r="C31" i="38"/>
  <c r="C26" i="38"/>
  <c r="C24" i="38"/>
  <c r="C23" i="38"/>
  <c r="C11" i="38"/>
  <c r="B35" i="37"/>
  <c r="B6" i="37"/>
  <c r="C4" i="37"/>
  <c r="B2" i="37"/>
  <c r="H8" i="36"/>
  <c r="G8" i="36"/>
  <c r="G7" i="36"/>
  <c r="F7" i="36"/>
  <c r="E7" i="36"/>
  <c r="D7" i="36"/>
  <c r="C7" i="36"/>
  <c r="C2" i="36"/>
  <c r="C123" i="35"/>
  <c r="G96" i="35"/>
  <c r="F96" i="35"/>
  <c r="E96" i="35"/>
  <c r="D96" i="35"/>
  <c r="C96" i="35"/>
  <c r="C93" i="35"/>
  <c r="G64" i="35"/>
  <c r="F64" i="35"/>
  <c r="E64" i="35"/>
  <c r="D64" i="35"/>
  <c r="C64" i="35"/>
  <c r="C58" i="35"/>
  <c r="C57" i="35"/>
  <c r="C56" i="35"/>
  <c r="C55" i="35"/>
  <c r="C54" i="35"/>
  <c r="C53" i="35"/>
  <c r="C52"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G26" i="35"/>
  <c r="F26" i="35"/>
  <c r="E26" i="35"/>
  <c r="C26" i="35"/>
  <c r="C22" i="35"/>
  <c r="C20" i="35"/>
  <c r="C19" i="35"/>
  <c r="C17" i="35"/>
  <c r="C14" i="35"/>
  <c r="C13" i="35"/>
  <c r="G12" i="35"/>
  <c r="F12" i="35"/>
  <c r="E12" i="35"/>
  <c r="D311" i="34"/>
  <c r="L288" i="34"/>
  <c r="I288" i="34"/>
  <c r="F288" i="34"/>
  <c r="D288" i="34"/>
  <c r="D286" i="34"/>
  <c r="F285" i="34"/>
  <c r="D285" i="34"/>
  <c r="F284" i="34"/>
  <c r="D284" i="34"/>
  <c r="F283" i="34"/>
  <c r="D283" i="34"/>
  <c r="F282" i="34"/>
  <c r="D282" i="34"/>
  <c r="D281" i="34"/>
  <c r="D279" i="34"/>
  <c r="D277" i="34"/>
  <c r="D275" i="34"/>
  <c r="D256" i="34"/>
  <c r="D255" i="34"/>
  <c r="D248" i="34"/>
  <c r="D246" i="34"/>
  <c r="D245" i="34"/>
  <c r="D244" i="34"/>
  <c r="D243" i="34"/>
  <c r="G242" i="34"/>
  <c r="D242" i="34"/>
  <c r="D241" i="34"/>
  <c r="D240" i="34"/>
  <c r="D232" i="34"/>
  <c r="D165" i="34"/>
  <c r="I142" i="34"/>
  <c r="E142" i="34"/>
  <c r="D142" i="34"/>
  <c r="E195" i="34" s="1"/>
  <c r="E193" i="34"/>
  <c r="E192" i="34"/>
  <c r="E191" i="34"/>
  <c r="F133" i="34"/>
  <c r="D133" i="34"/>
  <c r="E190" i="34" s="1"/>
  <c r="D132" i="34"/>
  <c r="E189" i="34" s="1"/>
  <c r="E188" i="34"/>
  <c r="D14" i="34"/>
  <c r="D11" i="34"/>
  <c r="D7" i="34"/>
  <c r="D5" i="34"/>
  <c r="C3" i="34"/>
  <c r="D149" i="33"/>
  <c r="D147" i="33"/>
  <c r="D146" i="33"/>
  <c r="D145" i="33"/>
  <c r="D144" i="33"/>
  <c r="F140" i="33"/>
  <c r="F139" i="33"/>
  <c r="F138" i="33"/>
  <c r="F137" i="33"/>
  <c r="F136" i="33"/>
  <c r="D135" i="33"/>
  <c r="F132" i="33"/>
  <c r="F131" i="33"/>
  <c r="F130" i="33"/>
  <c r="F129" i="33"/>
  <c r="F128" i="33"/>
  <c r="F127" i="33"/>
  <c r="F126" i="33"/>
  <c r="D121" i="33"/>
  <c r="F103" i="33"/>
  <c r="F102" i="33"/>
  <c r="F101" i="33"/>
  <c r="F100" i="33"/>
  <c r="F99" i="33"/>
  <c r="F98" i="33"/>
  <c r="F97" i="33"/>
  <c r="F96" i="33"/>
  <c r="F95" i="33"/>
  <c r="F94" i="33"/>
  <c r="F93" i="33"/>
  <c r="D92" i="33"/>
  <c r="D91" i="33"/>
  <c r="F89" i="33"/>
  <c r="F88" i="33"/>
  <c r="F86" i="33"/>
  <c r="F85" i="33"/>
  <c r="F84" i="33"/>
  <c r="F83" i="33"/>
  <c r="F82" i="33"/>
  <c r="D81" i="33"/>
  <c r="D80" i="33"/>
  <c r="F78" i="33"/>
  <c r="F77" i="33"/>
  <c r="F76" i="33"/>
  <c r="F75" i="33"/>
  <c r="F74" i="33"/>
  <c r="F73" i="33"/>
  <c r="F72" i="33"/>
  <c r="F71" i="33"/>
  <c r="D70" i="33"/>
  <c r="F68" i="33"/>
  <c r="F67" i="33"/>
  <c r="F66" i="33"/>
  <c r="F65" i="33"/>
  <c r="D63" i="33"/>
  <c r="D62" i="33"/>
  <c r="D61" i="33"/>
  <c r="D59" i="33"/>
  <c r="D58" i="33"/>
  <c r="D56" i="33"/>
  <c r="D55" i="33"/>
  <c r="D53" i="33"/>
  <c r="D52" i="33"/>
  <c r="D49" i="33"/>
  <c r="D46" i="33"/>
  <c r="D45" i="33"/>
  <c r="D44" i="33"/>
  <c r="D42" i="33"/>
  <c r="D8" i="33"/>
  <c r="D7" i="33"/>
  <c r="C3" i="33"/>
  <c r="B159" i="10"/>
  <c r="B154" i="10"/>
  <c r="B152" i="10"/>
  <c r="B150" i="10"/>
  <c r="B149" i="10"/>
  <c r="B148" i="10"/>
  <c r="E136" i="10"/>
  <c r="E135" i="10"/>
  <c r="E134" i="10"/>
  <c r="E133" i="10"/>
  <c r="E132" i="10"/>
  <c r="C132" i="10"/>
  <c r="E131" i="10"/>
  <c r="C131" i="10"/>
  <c r="B130" i="10"/>
  <c r="B129" i="10"/>
  <c r="B128" i="10"/>
  <c r="B127" i="10"/>
  <c r="B126" i="10"/>
  <c r="B122" i="10"/>
  <c r="B121" i="10"/>
  <c r="B119" i="10"/>
  <c r="B118" i="10"/>
  <c r="B114" i="10"/>
  <c r="B113" i="10"/>
  <c r="B112" i="10"/>
  <c r="B111" i="10"/>
  <c r="B110" i="10"/>
  <c r="B109" i="10"/>
  <c r="B107" i="10"/>
  <c r="B106" i="10"/>
  <c r="E97" i="10"/>
  <c r="B95" i="10"/>
  <c r="C93" i="10"/>
  <c r="C92" i="10"/>
  <c r="C91" i="10"/>
  <c r="C90" i="10"/>
  <c r="B86" i="10"/>
  <c r="B80" i="10"/>
  <c r="B77" i="10"/>
  <c r="B74" i="10"/>
  <c r="B72" i="10"/>
  <c r="B71" i="10"/>
  <c r="B2" i="10"/>
  <c r="B102" i="9"/>
  <c r="B101" i="9"/>
  <c r="B100" i="9"/>
  <c r="B99" i="9"/>
  <c r="F94" i="9"/>
  <c r="B94" i="9"/>
  <c r="B86" i="9"/>
  <c r="B36" i="9"/>
  <c r="B30" i="9"/>
  <c r="B28" i="9"/>
  <c r="B26" i="9"/>
  <c r="B18" i="9"/>
  <c r="B17" i="9"/>
  <c r="B14" i="9"/>
  <c r="B13" i="9"/>
  <c r="B12" i="9"/>
  <c r="B11" i="9"/>
  <c r="B10" i="9"/>
  <c r="B9" i="9"/>
  <c r="B7" i="9"/>
  <c r="B6" i="9"/>
  <c r="B2" i="9"/>
  <c r="M56" i="33"/>
  <c r="F26" i="9"/>
  <c r="U250" i="34"/>
  <c r="U244" i="34"/>
  <c r="U245" i="34"/>
  <c r="U243" i="34"/>
  <c r="F32" i="9"/>
  <c r="F30" i="9"/>
  <c r="F29" i="9"/>
  <c r="U238" i="34"/>
  <c r="E207" i="34"/>
  <c r="E208" i="34"/>
  <c r="E209" i="34"/>
  <c r="E210" i="34"/>
  <c r="E211" i="34"/>
  <c r="E215" i="34"/>
  <c r="D144" i="34"/>
  <c r="D145" i="34" s="1"/>
  <c r="U12" i="34"/>
  <c r="F91" i="35"/>
  <c r="F16" i="35" s="1"/>
  <c r="G91" i="35"/>
  <c r="G16" i="35" s="1"/>
  <c r="H91" i="35"/>
  <c r="H16" i="35" s="1"/>
  <c r="E123" i="35"/>
  <c r="E17" i="35" s="1"/>
  <c r="E15" i="35" s="1"/>
  <c r="E13" i="35" s="1"/>
  <c r="F123" i="35"/>
  <c r="F17" i="35" s="1"/>
  <c r="G123" i="35"/>
  <c r="G17" i="35" s="1"/>
  <c r="H123" i="35"/>
  <c r="H17" i="35" s="1"/>
  <c r="H243" i="34"/>
  <c r="H244" i="34"/>
  <c r="H245" i="34"/>
  <c r="G246" i="34"/>
  <c r="A95" i="10"/>
  <c r="A106" i="10" s="1"/>
  <c r="A107" i="10" s="1"/>
  <c r="A109" i="10" s="1"/>
  <c r="A126" i="10" s="1"/>
  <c r="A148" i="10" s="1"/>
  <c r="A149" i="10" s="1"/>
  <c r="A150" i="10" s="1"/>
  <c r="A152" i="10" s="1"/>
  <c r="A156" i="10" s="1"/>
  <c r="A159" i="10" s="1"/>
  <c r="B37" i="25"/>
  <c r="B36" i="25"/>
  <c r="B35" i="25"/>
  <c r="B34" i="25"/>
  <c r="B33" i="25"/>
  <c r="B32" i="25"/>
  <c r="B38" i="25"/>
  <c r="B103" i="9"/>
  <c r="E101" i="9"/>
  <c r="B51" i="25"/>
  <c r="A453" i="17"/>
  <c r="E102" i="9"/>
  <c r="E100" i="9"/>
  <c r="G15" i="35" l="1"/>
  <c r="G13" i="35" s="1"/>
  <c r="F15" i="35"/>
  <c r="F13" i="35" s="1"/>
  <c r="H15" i="35"/>
  <c r="H13" i="35" s="1"/>
  <c r="U246" i="34"/>
  <c r="J253" i="34" s="1"/>
  <c r="M190" i="34"/>
  <c r="Q195" i="34"/>
  <c r="P195" i="34"/>
  <c r="M195" i="34"/>
  <c r="L195" i="34"/>
  <c r="Q191" i="34"/>
  <c r="N191" i="34"/>
  <c r="P191" i="34"/>
  <c r="L191" i="34"/>
  <c r="M192" i="34"/>
  <c r="L192" i="34"/>
  <c r="O192" i="34"/>
  <c r="Q192" i="34"/>
  <c r="M188" i="34"/>
  <c r="L188" i="34"/>
  <c r="O188" i="34"/>
  <c r="Q188" i="34"/>
  <c r="P188" i="34"/>
  <c r="O189" i="34"/>
  <c r="N189" i="34"/>
  <c r="L193" i="34"/>
  <c r="M193" i="34"/>
  <c r="Q73" i="34"/>
  <c r="Q68" i="34"/>
  <c r="Q76" i="34"/>
  <c r="Q72" i="34"/>
  <c r="A970" i="17"/>
  <c r="Q71" i="34"/>
  <c r="Q69" i="34"/>
  <c r="Q75" i="34"/>
  <c r="Q77" i="34"/>
  <c r="E938" i="17"/>
  <c r="E929" i="17"/>
  <c r="E930" i="17"/>
  <c r="E937" i="17"/>
  <c r="O87" i="34" s="1"/>
  <c r="E932" i="17"/>
  <c r="E936" i="17"/>
  <c r="E933" i="17"/>
  <c r="E934" i="17"/>
  <c r="K167" i="34"/>
  <c r="G40" i="9" s="1"/>
  <c r="G203" i="34"/>
  <c r="I203" i="34" s="1"/>
  <c r="G207" i="34"/>
  <c r="I207" i="34" s="1"/>
  <c r="I214" i="34"/>
  <c r="G210" i="34"/>
  <c r="I210" i="34" s="1"/>
  <c r="G211" i="34"/>
  <c r="I211" i="34" s="1"/>
  <c r="I213" i="34"/>
  <c r="G209" i="34"/>
  <c r="I209" i="34" s="1"/>
  <c r="I212" i="34"/>
  <c r="G208" i="34"/>
  <c r="I208" i="34" s="1"/>
  <c r="C3" i="25"/>
  <c r="E103" i="9" s="1"/>
  <c r="R62" i="42" l="1"/>
  <c r="O62" i="42"/>
  <c r="O90" i="34"/>
  <c r="N190" i="34"/>
  <c r="O193" i="34"/>
  <c r="K189" i="34"/>
  <c r="J189" i="34"/>
  <c r="Q189" i="34" s="1"/>
  <c r="P190" i="34"/>
  <c r="N193" i="34"/>
  <c r="N192" i="34"/>
  <c r="M191" i="34"/>
  <c r="N195" i="34"/>
  <c r="Q190" i="34"/>
  <c r="Q193" i="34"/>
  <c r="N188" i="34"/>
  <c r="O191" i="34"/>
  <c r="O195" i="34"/>
  <c r="O190" i="34"/>
  <c r="P189" i="34"/>
  <c r="L189" i="34"/>
  <c r="P192" i="34"/>
  <c r="L190" i="34"/>
  <c r="P193" i="34"/>
  <c r="M189" i="34"/>
  <c r="O68" i="42"/>
  <c r="R60" i="42"/>
  <c r="O60" i="42"/>
  <c r="R66" i="42"/>
  <c r="R68" i="42"/>
  <c r="O66" i="42"/>
  <c r="R70" i="42"/>
  <c r="O70" i="42"/>
  <c r="O89" i="34"/>
  <c r="O91" i="34"/>
  <c r="G24" i="41"/>
  <c r="G18" i="41" s="1"/>
  <c r="G21" i="41" s="1"/>
  <c r="M224" i="34" l="1"/>
  <c r="G66" i="9" s="1"/>
  <c r="P227" i="34"/>
  <c r="G68" i="9" s="1"/>
  <c r="J218" i="34"/>
  <c r="K222" i="34"/>
  <c r="G58" i="9" s="1"/>
  <c r="L223" i="34"/>
  <c r="G62" i="9" s="1"/>
  <c r="K221" i="34"/>
  <c r="G60" i="9" s="1"/>
  <c r="O226" i="34"/>
  <c r="G64" i="9" s="1"/>
  <c r="Q228" i="34"/>
  <c r="G72" i="9" s="1"/>
  <c r="N225" i="34"/>
  <c r="G70" i="9" s="1"/>
  <c r="R64" i="42"/>
  <c r="O64" i="42"/>
  <c r="O65" i="42"/>
  <c r="R65" i="42"/>
  <c r="G35" i="9"/>
  <c r="F20" i="35"/>
  <c r="G21" i="43" l="1"/>
  <c r="H25" i="43"/>
  <c r="G25" i="43"/>
  <c r="E20" i="43"/>
  <c r="F20" i="43"/>
  <c r="E25" i="43"/>
  <c r="H23" i="43"/>
  <c r="H24" i="43"/>
  <c r="E22" i="43"/>
  <c r="E21" i="43"/>
  <c r="H22" i="43"/>
  <c r="E18" i="43"/>
  <c r="F19" i="43"/>
  <c r="H18" i="43"/>
  <c r="E19" i="43"/>
  <c r="E24" i="43"/>
  <c r="F25" i="43"/>
  <c r="G19" i="43"/>
  <c r="F24" i="43"/>
  <c r="E23" i="43"/>
  <c r="H21" i="43"/>
  <c r="F22" i="43"/>
  <c r="G24" i="43"/>
  <c r="H20" i="43"/>
  <c r="G22" i="43"/>
  <c r="G20" i="43"/>
  <c r="F21" i="43"/>
  <c r="G23" i="43"/>
  <c r="F18" i="43"/>
  <c r="F23" i="43"/>
  <c r="H19" i="43"/>
  <c r="G18" i="43"/>
  <c r="G55" i="9"/>
  <c r="I192" i="35"/>
  <c r="R192" i="35"/>
  <c r="T192" i="35"/>
  <c r="M192" i="35"/>
  <c r="V192" i="35"/>
  <c r="J192" i="35"/>
  <c r="K192" i="35"/>
  <c r="N192" i="35"/>
  <c r="S192" i="35"/>
  <c r="P192" i="35"/>
  <c r="H192" i="35"/>
  <c r="Q192" i="35"/>
  <c r="L192" i="35"/>
  <c r="U192" i="35"/>
  <c r="O192" i="35"/>
  <c r="F139" i="35"/>
  <c r="F140" i="35" s="1"/>
  <c r="H118" i="38"/>
  <c r="G26" i="43" l="1"/>
  <c r="F26" i="43"/>
  <c r="I25" i="43"/>
  <c r="I20" i="43"/>
  <c r="E26" i="43"/>
  <c r="I18" i="43"/>
  <c r="I21" i="43"/>
  <c r="H26" i="43"/>
  <c r="I19" i="43"/>
  <c r="I22" i="43"/>
  <c r="I24" i="43"/>
  <c r="I23" i="43"/>
  <c r="I26"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Fallmann Hubert</author>
  </authors>
  <commentList>
    <comment ref="A23" authorId="0" shapeId="0" xr:uid="{00000000-0006-0000-0C00-000001000000}">
      <text>
        <r>
          <rPr>
            <b/>
            <sz val="9"/>
            <color indexed="81"/>
            <rFont val="Segoe UI"/>
            <family val="2"/>
          </rPr>
          <t>can be deleted</t>
        </r>
      </text>
    </comment>
    <comment ref="A59" authorId="1" shapeId="0" xr:uid="{00000000-0006-0000-0C00-000002000000}">
      <text>
        <r>
          <rPr>
            <b/>
            <sz val="9"/>
            <color indexed="81"/>
            <rFont val="Segoe UI"/>
            <family val="2"/>
          </rPr>
          <t>Removed from list in 2022 update</t>
        </r>
      </text>
    </comment>
    <comment ref="A187" authorId="0" shapeId="0" xr:uid="{00000000-0006-0000-0C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A504" authorId="0" shapeId="0" xr:uid="{00000000-0006-0000-0C00-000004000000}">
      <text>
        <r>
          <rPr>
            <b/>
            <sz val="8"/>
            <color indexed="81"/>
            <rFont val="Tahoma"/>
            <family val="2"/>
          </rPr>
          <t>For Member States:</t>
        </r>
        <r>
          <rPr>
            <sz val="8"/>
            <color indexed="81"/>
            <rFont val="Tahoma"/>
            <family val="2"/>
          </rPr>
          <t xml:space="preserve">
If you make adaptations to this file, please list your Competent Authorities below the "Please select", and delete those that are not applicable in your 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Fallmann Hubert</author>
    <author>Hubert Fallmann</author>
  </authors>
  <commentList>
    <comment ref="B45" authorId="0" shapeId="0" xr:uid="{00000000-0006-0000-0E00-000001000000}">
      <text>
        <r>
          <rPr>
            <b/>
            <sz val="8"/>
            <color indexed="81"/>
            <rFont val="Tahoma"/>
            <family val="2"/>
          </rPr>
          <t>Final link to be added as soon as available.</t>
        </r>
      </text>
    </comment>
    <comment ref="C45" authorId="0" shapeId="0" xr:uid="{00000000-0006-0000-0E00-000002000000}">
      <text>
        <r>
          <rPr>
            <b/>
            <sz val="8"/>
            <color indexed="81"/>
            <rFont val="Tahoma"/>
            <family val="2"/>
          </rPr>
          <t>Final link to be added as soon as available.</t>
        </r>
      </text>
    </comment>
    <comment ref="B1194" authorId="1" shapeId="0" xr:uid="{00000000-0006-0000-0E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C1194" authorId="1" shapeId="0" xr:uid="{00000000-0006-0000-0E00-000004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List>
</comments>
</file>

<file path=xl/sharedStrings.xml><?xml version="1.0" encoding="utf-8"?>
<sst xmlns="http://schemas.openxmlformats.org/spreadsheetml/2006/main" count="4684" uniqueCount="2115">
  <si>
    <t>8a</t>
  </si>
  <si>
    <t>8b</t>
  </si>
  <si>
    <t>10a</t>
  </si>
  <si>
    <t>Proportional fuel attribution at airports</t>
  </si>
  <si>
    <t>New</t>
  </si>
  <si>
    <t>10b</t>
  </si>
  <si>
    <t>Support under Article 3c(6) of the EU ETS Directive</t>
  </si>
  <si>
    <t>11a</t>
  </si>
  <si>
    <t>delete!</t>
  </si>
  <si>
    <t xml:space="preserve"> t CO2</t>
  </si>
  <si>
    <t>Memo-Item: Total zero-rated emissions</t>
  </si>
  <si>
    <t>new</t>
  </si>
  <si>
    <t>Memo-Item: Total zero-rated biomass emissions</t>
  </si>
  <si>
    <t>updated</t>
  </si>
  <si>
    <t>Memo-Item: Total non-zero-rated biomass emissions</t>
  </si>
  <si>
    <t>Memo-Item: Total zero-rated emissions from RFNBO/RCF</t>
  </si>
  <si>
    <t>Memo-Item: Total non-zero-rated emissions from RFNBO/RCF</t>
  </si>
  <si>
    <t>Memo-Item: Total zero-rated emissions from SLCFs</t>
  </si>
  <si>
    <t>Memo-Item: Total non-zero-rated emissions from SLCFs</t>
  </si>
  <si>
    <t>Row not hidden</t>
  </si>
  <si>
    <t>Total reductions claimed from the use of CORSIA eligible fuels:</t>
  </si>
  <si>
    <t>(I)</t>
  </si>
  <si>
    <t>http://data.europa.eu/eli/dir/2003/87/2024-03-01</t>
  </si>
  <si>
    <t>Updated to latest consolidated version</t>
  </si>
  <si>
    <t>http://data.europa.eu/eli/reg_impl/2018/2066/2024-07-01</t>
  </si>
  <si>
    <t>https://www.bafu.admin.ch/bafu/en/home/topics/climate/info-specialists/reduction-measures/ets/aviation.html</t>
  </si>
  <si>
    <t>(II)</t>
  </si>
  <si>
    <t>delete</t>
  </si>
  <si>
    <t>(III)</t>
  </si>
  <si>
    <t>1a</t>
  </si>
  <si>
    <t xml:space="preserve">-  </t>
  </si>
  <si>
    <t>2a</t>
  </si>
  <si>
    <t>(IV)</t>
  </si>
  <si>
    <t>(a)</t>
  </si>
  <si>
    <t>(b)</t>
  </si>
  <si>
    <t>(c)</t>
  </si>
  <si>
    <t>(d)</t>
  </si>
  <si>
    <t>(e)</t>
  </si>
  <si>
    <t>ausblenden</t>
  </si>
  <si>
    <t>CNTR_ReportingYear</t>
  </si>
  <si>
    <t>&lt;Please select&gt;</t>
  </si>
  <si>
    <t>CONTR_CORSIAapplied</t>
  </si>
  <si>
    <t>(f)</t>
  </si>
  <si>
    <t>(g)</t>
  </si>
  <si>
    <t>CONTR_onlyCORSIA</t>
  </si>
  <si>
    <t>(h)</t>
  </si>
  <si>
    <t xml:space="preserve">(c) </t>
  </si>
  <si>
    <t xml:space="preserve">(d) </t>
  </si>
  <si>
    <t xml:space="preserve">(e) </t>
  </si>
  <si>
    <t>make grey?</t>
  </si>
  <si>
    <t>Please select or enter name, as appropriate</t>
  </si>
  <si>
    <t>(i)</t>
  </si>
  <si>
    <t>(j)</t>
  </si>
  <si>
    <t>(k)</t>
  </si>
  <si>
    <t>(l)</t>
  </si>
  <si>
    <t>Column for</t>
  </si>
  <si>
    <t>controls</t>
  </si>
  <si>
    <t>make grey</t>
  </si>
  <si>
    <t>(a).i</t>
  </si>
  <si>
    <t>(a).ii</t>
  </si>
  <si>
    <t>(a).iii</t>
  </si>
  <si>
    <t xml:space="preserve">(b) </t>
  </si>
  <si>
    <t>Properties of the fuels used:</t>
  </si>
  <si>
    <t>Please provide here the calculation factors needed for describing each fuel's properties for calculating the emissions. Input is required only if you are using other fuels than the standard fuels already defined. Please note:</t>
  </si>
  <si>
    <t xml:space="preserve">preliminary EF </t>
  </si>
  <si>
    <t>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t>
  </si>
  <si>
    <t>NCV</t>
  </si>
  <si>
    <t>Net calorific value. Proxy data is to be reported for completeness purposes. In this template it is not used for emission calculation.</t>
  </si>
  <si>
    <t>biomass content (sustainable)</t>
  </si>
  <si>
    <t>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</si>
  <si>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 xml:space="preserve">biomass content (non-sustainable) </t>
  </si>
  <si>
    <t>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t>
  </si>
  <si>
    <t>Note: If you use a biofuel or mixed fuel, for which the sustainability criteria are demonstrated only for a part of the annual used quantity, you have to define two different fuels here, one with sustainable biomass and one with non-sustainable biomass.</t>
  </si>
  <si>
    <t>Fuel No.</t>
  </si>
  <si>
    <t>Name of fuel</t>
  </si>
  <si>
    <t>preliminary EF 
[t CO2 / t fuel]</t>
  </si>
  <si>
    <t>NCV [GJ/t]</t>
  </si>
  <si>
    <t>biomass content (sustainable) [%]</t>
  </si>
  <si>
    <t>biomass content (non-sustainable) [%]</t>
  </si>
  <si>
    <t>Jet kerosene (Jet A1 or Jet A)</t>
  </si>
  <si>
    <t>Jet gasoline (Jet B)</t>
  </si>
  <si>
    <t>Aviation gasoline (AvGas)</t>
  </si>
  <si>
    <t>end</t>
  </si>
  <si>
    <t>If required, you may add further fuels by inserting rows above this one. This is best done by inserting a copied row.</t>
  </si>
  <si>
    <t>Properties of the fuels used</t>
  </si>
  <si>
    <t>The „preliminary emission factor" is the assumed total emission factor of a mixed fuel or material based on the total carbon content before multiplying it with the fossil fraction to result in the emission factor. For Aviation, the EF is usually reported as t CO2/t.</t>
  </si>
  <si>
    <t>Alternative fuel types</t>
  </si>
  <si>
    <t>Short name</t>
  </si>
  <si>
    <t>Description of the fuel type</t>
  </si>
  <si>
    <t>Support level</t>
  </si>
  <si>
    <t>Advanced aviation biofuel</t>
  </si>
  <si>
    <t>Adv. Biofuel</t>
  </si>
  <si>
    <t>Biofuels produced from the feedstock listed in Part A Annex IX to Directive 2018/2001 and that are certified in compliance with Article 30 of that Directive</t>
  </si>
  <si>
    <t>Aviation Biofuel</t>
  </si>
  <si>
    <t>Biofuel</t>
  </si>
  <si>
    <t>Biofuels produced from feedstock listed in Part B Annex IX to Directive 2018/2001 and that are certified in compliance with Article 30 of that Directive</t>
  </si>
  <si>
    <t>Other aviation biofuel</t>
  </si>
  <si>
    <t>Other Biofuel</t>
  </si>
  <si>
    <t>Biofuels produced from the feedstock not listed in Annex IX to Directive 2018/2001 except for those produced from food and feed crops and that are certified in compliance with Article 30 of that Directive</t>
  </si>
  <si>
    <t>Co-processed advanced biofuel</t>
  </si>
  <si>
    <t>Co-prod. Adv. Biofuel</t>
  </si>
  <si>
    <t>Co-products in a conventional refinery produced from the feedstock listed in Part A Annex IX of Directive 2018/2001 and that are certified in compliance with Article 30 of that Directive</t>
  </si>
  <si>
    <t>Co-processed biofuel</t>
  </si>
  <si>
    <t>Co-prod. Biofuel</t>
  </si>
  <si>
    <t>Co-products in a conventional refinery other than advanced co-processed fuels and that are certified in compliance with Article 30 of that Directive</t>
  </si>
  <si>
    <t>Non-Eligible biofuels</t>
  </si>
  <si>
    <t>Non-El. Biofuel</t>
  </si>
  <si>
    <t>Biofuels that are certified in compliance with Article 30 of Directive 2018/2001 and produced from food and feed crops</t>
  </si>
  <si>
    <t>Non-zero-rated biofuels</t>
  </si>
  <si>
    <t>Non-zero Biofuel</t>
  </si>
  <si>
    <t>Biofuels that are not certified in compliance with Article 30 of Directive 2018/2001</t>
  </si>
  <si>
    <t>RFNBO</t>
  </si>
  <si>
    <t>Drop-in renewable fuels of non-biological origin as defined in Article 2, point (36) of Directive 2018/2001 and that are certified in compliance with Article 30 of that Directive</t>
  </si>
  <si>
    <t>RCF</t>
  </si>
  <si>
    <t>Recycled carbon fuels as defined in Article 2, point (35) of Directive (EU) 2018/2001 and that are certified in compliance with Article 30 of that Directive</t>
  </si>
  <si>
    <t>Non-zero-rated RFNBO</t>
  </si>
  <si>
    <t>Non-zero RFNBO</t>
  </si>
  <si>
    <t>Drop-in renewable fuels of non-biological origin as defined in Article 2, point (36) of Directive 2018/2001 and that are NOT certified in compliance with Article 30 of that Directive</t>
  </si>
  <si>
    <t>Non-zero-rated RCF</t>
  </si>
  <si>
    <t>Non-zero RCF</t>
  </si>
  <si>
    <t>Recycled carbon fuels as defined in Article 2, point (35) of Directive (EU) 2018/2001 and that are NOT certified in compliance with Article 30 of that Directive</t>
  </si>
  <si>
    <t>non-fossil SLCF</t>
  </si>
  <si>
    <t>non-foss SLCF</t>
  </si>
  <si>
    <t>SLCF (fossil)</t>
  </si>
  <si>
    <t>SLCF</t>
  </si>
  <si>
    <t>non-zero-rated SLCF</t>
  </si>
  <si>
    <t>Non-zero SLCF</t>
  </si>
  <si>
    <t>Other</t>
  </si>
  <si>
    <t>Any other drop-in aviation fuel not listed above</t>
  </si>
  <si>
    <t>Other Aviation fuel (Manual input)</t>
  </si>
  <si>
    <t>Other (manual)</t>
  </si>
  <si>
    <t>Any other drop-in aviation fuel not listed above, open to complete manual input, i.e. there is the possibility to enter an emission factor or NCV different from standard aviation fuels, dtermined in accordance with Articles 32 to 35 of the MRR.</t>
  </si>
  <si>
    <t>Manual input</t>
  </si>
  <si>
    <t>Fuel type</t>
  </si>
  <si>
    <t>MRR Category</t>
  </si>
  <si>
    <t>Alternative fuel sub-category</t>
  </si>
  <si>
    <t>Zero rated fuel</t>
  </si>
  <si>
    <t>Eligibility for ETS support</t>
  </si>
  <si>
    <t>Auxiliary data:</t>
  </si>
  <si>
    <t>Standard aviation fuel</t>
  </si>
  <si>
    <t>Sheet name:</t>
  </si>
  <si>
    <t>Has complete data?</t>
  </si>
  <si>
    <t>FuelNameList</t>
  </si>
  <si>
    <t>Is Biofuel?</t>
  </si>
  <si>
    <t>Is RFNBO/RCF?</t>
  </si>
  <si>
    <t>Is SLCF?</t>
  </si>
  <si>
    <t>CNTR_FuelSelection</t>
  </si>
  <si>
    <t>CNTR_FuelListCompleteData</t>
  </si>
  <si>
    <t>CNTR_FuelListNames</t>
  </si>
  <si>
    <t>CNTR_FuelListIsBioFuel</t>
  </si>
  <si>
    <t>CNTR_FuelListIsRF</t>
  </si>
  <si>
    <t>CNTR_FuelListIsSLCF</t>
  </si>
  <si>
    <t>Auxiliary for sorting</t>
  </si>
  <si>
    <t>Fuel list for drop-down (airport sheet)</t>
  </si>
  <si>
    <t>Jet-A</t>
  </si>
  <si>
    <t>Jet-A1</t>
  </si>
  <si>
    <t>Jet-B</t>
  </si>
  <si>
    <t>RFNBO/RCF</t>
  </si>
  <si>
    <t>AvGas</t>
  </si>
  <si>
    <t xml:space="preserve">(b1) </t>
  </si>
  <si>
    <t>CO2 emissions [t CO2]</t>
  </si>
  <si>
    <t>Total zero-rated emissions [t CO2]</t>
  </si>
  <si>
    <t>Zero-rated biomass</t>
  </si>
  <si>
    <t>Zero-rated RFNBO / RCF</t>
  </si>
  <si>
    <t>Zero-rated SLCF</t>
  </si>
  <si>
    <t>Non-zero-rated biomass</t>
  </si>
  <si>
    <t>Non-zero-rated RFNBO / RCF</t>
  </si>
  <si>
    <t>Non-zero-rated SLCF</t>
  </si>
  <si>
    <t>more detailed calculation</t>
  </si>
  <si>
    <t>Memo Item: total zero-rated emissions</t>
  </si>
  <si>
    <t>INDICATOR_ETS_TotalZeroRatedEmissions</t>
  </si>
  <si>
    <t>Memo Item: Total emissions using the preliminary emissions factor</t>
  </si>
  <si>
    <t>INDICATOR_ETS_TotalPrelEF_Emissions</t>
  </si>
  <si>
    <t>Memo-item: Total emissions from zero-rated biofuels</t>
  </si>
  <si>
    <t>INDICATOR_ETS_TotalZeroRatedBioEm</t>
  </si>
  <si>
    <t>Memo-item: Total emissions from zero-rated RFNBO / RCF</t>
  </si>
  <si>
    <t>INDICATOR_ETS_TotalZeroRatedRFNBO</t>
  </si>
  <si>
    <t>Memo-item: Total emissions from zero-rated SLCF</t>
  </si>
  <si>
    <t>INDICATOR_ETS_TotalZeroRatedSLCF</t>
  </si>
  <si>
    <t>Memo-item: Total emissions from non-zero-rated biofuels</t>
  </si>
  <si>
    <t>INDICATOR_ETS_TotalNonZeroRatedBioEm</t>
  </si>
  <si>
    <t>Memo-item: Total emissions from non-zero-rated RFNBO / RCF</t>
  </si>
  <si>
    <t>INDICATOR_ETS_TotalNonZeroRatedRFNBO</t>
  </si>
  <si>
    <t>Memo-item: Total emissions from non-zero-rated SLCF</t>
  </si>
  <si>
    <t>INDICATOR_ETS_TotalNonZeroRatedSLCF</t>
  </si>
  <si>
    <t>INDICATOR_CHETS_TotalZeroRatedEmissions</t>
  </si>
  <si>
    <t>INDICATOR_CHETS_TotalPrelEF_Emissions</t>
  </si>
  <si>
    <t>INDICATOR_CHETS_TotalZeroRatedBioEm</t>
  </si>
  <si>
    <t>INDICATOR_CHETS_TotalZeroRatedRFNBO</t>
  </si>
  <si>
    <t>INDICATOR_CHETS_TotalZeroRatedSLCF</t>
  </si>
  <si>
    <t>INDICATOR_CHETS_TotalNonZeroRatedBioEm</t>
  </si>
  <si>
    <t>INDICATOR_CHETS_TotalNonZeroRatedRFNBO</t>
  </si>
  <si>
    <t>INDICATOR_CHETS_TotalNonZeroRatedSLCF</t>
  </si>
  <si>
    <t>Have you been using the simplified approach allowed for small emitters pursuant to Article 55(2) of the MRR?</t>
  </si>
  <si>
    <t>The small emitter tool may furthermore be used by aircraft operators with total annual emissions lower than 3,000 t CO2 per year, related to the reduced scope.</t>
  </si>
  <si>
    <t>&lt;243?</t>
  </si>
  <si>
    <t>&lt;25000? / 3000?</t>
  </si>
  <si>
    <t>Please enter here the total emissions related to the full scope, if relevant.</t>
  </si>
  <si>
    <t>t CO2</t>
  </si>
  <si>
    <t>need to mention preliminay EF?</t>
  </si>
  <si>
    <t xml:space="preserve">(f) </t>
  </si>
  <si>
    <t>Text changed</t>
  </si>
  <si>
    <t>Used quantity of each neat fuel [tonnes]</t>
  </si>
  <si>
    <t>NON ZERO-RATED EMISSIONS [t CO2]</t>
  </si>
  <si>
    <t>ZERO RATED EMISSIONS [t CO2]</t>
  </si>
  <si>
    <t>TOTAL EMISSIONS [t CO2]</t>
  </si>
  <si>
    <t>New text (Fuel use, not emissions to be input)</t>
  </si>
  <si>
    <t>A</t>
  </si>
  <si>
    <t>B</t>
  </si>
  <si>
    <t>C</t>
  </si>
  <si>
    <t>D</t>
  </si>
  <si>
    <t>E</t>
  </si>
  <si>
    <t xml:space="preserve">Please note that all figures should only refer to flights to be reported under the EU ETS, i.e. relate to the reduced scope. </t>
  </si>
  <si>
    <t>Text updated</t>
  </si>
  <si>
    <t>Please complete the following table with the appropriate data for the reporting year. Note that the emission factors presented in section 5(b) are automatically used for calculating these emissions.</t>
  </si>
  <si>
    <t>All tables extended to 18 fuel types</t>
  </si>
  <si>
    <t>Please continue by adding further rows above as needed. This must be done by copying an empty row and inserting it thereafter. A simple "insert row" command will NOT be sufficent.</t>
  </si>
  <si>
    <t>Text improved</t>
  </si>
  <si>
    <t>&lt;&lt;&lt; Click here to proceed to section 9 "Aircraft data" &gt;&gt;&gt;</t>
  </si>
  <si>
    <t>Do not change any formulae here!</t>
  </si>
  <si>
    <t>Hide row (Aux.values)</t>
  </si>
  <si>
    <t>Fuel Nr.</t>
  </si>
  <si>
    <t>Fuel has entries?</t>
  </si>
  <si>
    <t>Fuel name to display</t>
  </si>
  <si>
    <t>zero-rated?</t>
  </si>
  <si>
    <t>Prel. EF.</t>
  </si>
  <si>
    <t>(final) EF.</t>
  </si>
  <si>
    <t>Please indicate also which fuel is used by the aircraft type by indicating "TRUE" in the appropriate column(s). If you have listed alternative fuels in section 5(b), please select "TRUE" for each fuel in the appropriate column as displayed.</t>
  </si>
  <si>
    <t>Text to be deleted</t>
  </si>
  <si>
    <t>Columns for indicating the use of specific fuel types removed</t>
  </si>
  <si>
    <t>&lt;&lt;&lt; Click here to proceed to section 10 "Member State specific Content" &gt;&gt;&gt;</t>
  </si>
  <si>
    <t>Proportional fuel attribution at aerodromes</t>
  </si>
  <si>
    <t>Table for Attribution of alternative aviation fuels</t>
  </si>
  <si>
    <t>Aerodrome</t>
  </si>
  <si>
    <t>Eligibility for 100% support (Art. 3c(6) EU ETS Directive)</t>
  </si>
  <si>
    <t>Fuel eligible for support (tonnes)</t>
  </si>
  <si>
    <t>make grey (zero-rated)</t>
  </si>
  <si>
    <t>make grey (eligible)</t>
  </si>
  <si>
    <t>completely grey - if incomplete or fossil only</t>
  </si>
  <si>
    <t>Fuel Type for Summation</t>
  </si>
  <si>
    <t xml:space="preserve">eligibility level </t>
  </si>
  <si>
    <t>TOTAL</t>
  </si>
  <si>
    <t>AUTOMATIC AGGREGATION OF ALTERNATIVE FUEL TYPES</t>
  </si>
  <si>
    <t>Please, indicate here if you do NOT want to apply for the free allocation to support the use of eligible aviation fuels pursuant to Article 3c(6) of the EU ETS Directive.</t>
  </si>
  <si>
    <t>In selecting "TRUE", you are opting-out from the ETS support pursuant to Article 3c(6) of the EU ETS Directive.</t>
  </si>
  <si>
    <t>CNTR_ETS3c6OptOut</t>
  </si>
  <si>
    <t>Aggregated amount of neat fuels eligible for Article 3c(6) support</t>
  </si>
  <si>
    <t>The table below lists the amounts of neat fuels in tonnes, attributed proportionally to eligible flights, as entered in section 10a of this report.</t>
  </si>
  <si>
    <t>The level of support is automatically taken from the fuel definitions in section 5b.</t>
  </si>
  <si>
    <t>Where an airport listed in section 10b is eligible for 100% support in accordance with Article 3c(6) of the EU ETS Directive, this support level is set to 100%.</t>
  </si>
  <si>
    <t>Level of direct ETS support under Article 3c(6)</t>
  </si>
  <si>
    <t>CNTR_grey application</t>
  </si>
  <si>
    <t>Fuels entered in Section 10a [tonnes]</t>
  </si>
  <si>
    <t>Total Volume</t>
  </si>
  <si>
    <t>Advanced Aviation Biofuel</t>
  </si>
  <si>
    <t>(a1)</t>
  </si>
  <si>
    <t>(a2)</t>
  </si>
  <si>
    <t>Delete whole Sheet!</t>
  </si>
  <si>
    <t>(b1)</t>
  </si>
  <si>
    <t>(b2)</t>
  </si>
  <si>
    <t>(b3)</t>
  </si>
  <si>
    <t>Text updated (no overlap EU ETS / CORSIA) - may need improvement</t>
  </si>
  <si>
    <t>EU ETS</t>
  </si>
  <si>
    <t>Delete</t>
  </si>
  <si>
    <t>not hidden</t>
  </si>
  <si>
    <t>a)</t>
  </si>
  <si>
    <t>b)</t>
  </si>
  <si>
    <t>t</t>
  </si>
  <si>
    <t>b1)</t>
  </si>
  <si>
    <t>c)</t>
  </si>
  <si>
    <t>c1)</t>
  </si>
  <si>
    <t>c2)</t>
  </si>
  <si>
    <t>c3)</t>
  </si>
  <si>
    <t>c4)</t>
  </si>
  <si>
    <t>c5)</t>
  </si>
  <si>
    <t>ReportingYears</t>
  </si>
  <si>
    <t>Name of this sheet</t>
  </si>
  <si>
    <t>EUconst_Eligible</t>
  </si>
  <si>
    <t>EUconst_NotEligible</t>
  </si>
  <si>
    <t>Euconst_ErrMsgNumerOfFlights</t>
  </si>
  <si>
    <t>memberstates</t>
  </si>
  <si>
    <t>worldcountries</t>
  </si>
  <si>
    <t>Euconst_MPReferenceDateTypes</t>
  </si>
  <si>
    <t>opstatus</t>
  </si>
  <si>
    <t>flighttypes</t>
  </si>
  <si>
    <t>operationscope</t>
  </si>
  <si>
    <t>Title</t>
  </si>
  <si>
    <t>LegalStatus</t>
  </si>
  <si>
    <t>freightandmail</t>
  </si>
  <si>
    <t>Passengermass</t>
  </si>
  <si>
    <t>indrange</t>
  </si>
  <si>
    <t>1-5</t>
  </si>
  <si>
    <t>5-10</t>
  </si>
  <si>
    <t>11-20</t>
  </si>
  <si>
    <t>21-30</t>
  </si>
  <si>
    <t>31-50</t>
  </si>
  <si>
    <t>51-100</t>
  </si>
  <si>
    <t>101-200</t>
  </si>
  <si>
    <t>200+</t>
  </si>
  <si>
    <t>ManSys</t>
  </si>
  <si>
    <t>YesNo</t>
  </si>
  <si>
    <t>TrueFalse</t>
  </si>
  <si>
    <t>MSversiontracking</t>
  </si>
  <si>
    <t>SelectPrimaryInfoSource</t>
  </si>
  <si>
    <t>notapplicable</t>
  </si>
  <si>
    <t>NewUpdate</t>
  </si>
  <si>
    <t>BooleanValues</t>
  </si>
  <si>
    <t>UpliftDataSource</t>
  </si>
  <si>
    <t>TankDataSource</t>
  </si>
  <si>
    <t>Frequency</t>
  </si>
  <si>
    <t>parameters</t>
  </si>
  <si>
    <t>UncertThreshold</t>
  </si>
  <si>
    <t>&lt;2.5%</t>
  </si>
  <si>
    <t>&lt;5.0%</t>
  </si>
  <si>
    <t>UncertTierResult</t>
  </si>
  <si>
    <t>SourceClass</t>
  </si>
  <si>
    <t>MeasMethod</t>
  </si>
  <si>
    <t>DensMethod</t>
  </si>
  <si>
    <t>Fuel types</t>
  </si>
  <si>
    <t>UncertValue</t>
  </si>
  <si>
    <t>CommissionApprovedTools</t>
  </si>
  <si>
    <t>CompetentAuthorities</t>
  </si>
  <si>
    <t>aviationauthorities</t>
  </si>
  <si>
    <t>CORSIA_FuelsList</t>
  </si>
  <si>
    <t>EU_EF_forCORSIAFuelList</t>
  </si>
  <si>
    <t>CNTR_EFListSelected</t>
  </si>
  <si>
    <t>=IF(CNTR_EFSystemselected=$A$653;C646;B646)</t>
  </si>
  <si>
    <t>Formula deleted</t>
  </si>
  <si>
    <t>EF_SystemSelection</t>
  </si>
  <si>
    <t>CNTR_EFSystemselected</t>
  </si>
  <si>
    <t>MSLanguages</t>
  </si>
  <si>
    <t>MemberStatesWithSwiss</t>
  </si>
  <si>
    <t>CNST_AltFuels</t>
  </si>
  <si>
    <t>Fossil Alternative Fuel</t>
  </si>
  <si>
    <t>CNST_AltFuelTypes</t>
  </si>
  <si>
    <t>CNST_AltFuelTypesShort</t>
  </si>
  <si>
    <t>CNST_AltFuelsZero</t>
  </si>
  <si>
    <t>CNST_AltFuelsEligible</t>
  </si>
  <si>
    <t>CNST_AltFuelsSupportRate</t>
  </si>
  <si>
    <t>CNST_AltFuelsIsBio</t>
  </si>
  <si>
    <t>CNST_AltFuelsIsRF</t>
  </si>
  <si>
    <t>CNST_AltFuelsIsLCF</t>
  </si>
  <si>
    <t>non-zero-rated RFNBO</t>
  </si>
  <si>
    <t>non-zero-rated RCF</t>
  </si>
  <si>
    <t>Other (Fossil)</t>
  </si>
  <si>
    <t>manual input</t>
  </si>
  <si>
    <t>CNST_Biofuels</t>
  </si>
  <si>
    <t>CNST_RFNBO/RCF</t>
  </si>
  <si>
    <t>CNST_SLCF</t>
  </si>
  <si>
    <t>CNST_FossilAltFuel</t>
  </si>
  <si>
    <t>END</t>
  </si>
  <si>
    <t>CNST_MainFuelTypes</t>
  </si>
  <si>
    <t>CNST_MainFuelEFref</t>
  </si>
  <si>
    <t>CNST_MainFuelNCVref</t>
  </si>
  <si>
    <t>ERRmsg_SelectMainFuel</t>
  </si>
  <si>
    <t>Select main fuel!</t>
  </si>
  <si>
    <t>ERRmsg_Incomplete</t>
  </si>
  <si>
    <t>Incomplete!</t>
  </si>
  <si>
    <t>Text_Fuel</t>
  </si>
  <si>
    <t>Fuel</t>
  </si>
  <si>
    <t>CNST_EligibilityLevels</t>
  </si>
  <si>
    <t>ErrMsg_YouOptOut</t>
  </si>
  <si>
    <t>ErrMsg_Art3c6OK</t>
  </si>
  <si>
    <t>maybe to be added later!</t>
  </si>
  <si>
    <t>No.</t>
  </si>
  <si>
    <t>TEXT (Language Version)</t>
  </si>
  <si>
    <t>TEXT (English Original) - don't change!</t>
  </si>
  <si>
    <t>xxx</t>
  </si>
  <si>
    <t>ANNUAL EMISSIONS MONITORING PLAN</t>
  </si>
  <si>
    <t>CONTENTS</t>
  </si>
  <si>
    <t>Guidelines and conditions</t>
  </si>
  <si>
    <t>Monitoring Plan versions</t>
  </si>
  <si>
    <t>Identification of the aircraft operator</t>
  </si>
  <si>
    <t>Contact details</t>
  </si>
  <si>
    <t>Emission sources and fleet characteristics</t>
  </si>
  <si>
    <t>Eligibility for simplified approaches</t>
  </si>
  <si>
    <t>Activity data</t>
  </si>
  <si>
    <t>Uncertainty assessment</t>
  </si>
  <si>
    <t>Emission factors</t>
  </si>
  <si>
    <t>Simplified calculation of CO2 emissions</t>
  </si>
  <si>
    <t>Data Gaps</t>
  </si>
  <si>
    <t>Management</t>
  </si>
  <si>
    <t>Data Flow Activities</t>
  </si>
  <si>
    <t>Control Activities</t>
  </si>
  <si>
    <t>List of definitions and abbreviations used</t>
  </si>
  <si>
    <t>Additional information</t>
  </si>
  <si>
    <t>Member State specific further information</t>
  </si>
  <si>
    <t>Information about this file:</t>
  </si>
  <si>
    <t>This monitoring plan was submitted by:</t>
  </si>
  <si>
    <t>Unique Identifier of the aircraft operator (CRCO No.):</t>
  </si>
  <si>
    <t>Version Number of this monitoring plan:</t>
  </si>
  <si>
    <t>If your competent authority requires you to hand in a signed paper copy of the monitoring plan, please use the space below for signature:</t>
  </si>
  <si>
    <t>Date</t>
  </si>
  <si>
    <t>Name and Signature of 
legally responsible person</t>
  </si>
  <si>
    <t>Template version information:</t>
  </si>
  <si>
    <t>Template provided by:</t>
  </si>
  <si>
    <t>Publication date:</t>
  </si>
  <si>
    <t>Language version:</t>
  </si>
  <si>
    <t>Reference filename:</t>
  </si>
  <si>
    <t>GUIDELINES AND CONDITIONS</t>
  </si>
  <si>
    <t>Directive 2003/87/EC, as amended (hereinafter "the (revised) EU ETS Directive") requires aircraft operators who are included in the European Greenhouse Gas Emission Trading Scheme (the EU ETS) to monitor and report their emissions and tonne-kilometre data, and to have the reports verified by an independent and accredited verifier.</t>
  </si>
  <si>
    <t>The Directive can be downloaded from:</t>
  </si>
  <si>
    <t>http://eur-lex.europa.eu/legal-content/EN/TXT/HTML/?uri=CELEX:02003L0087-20151029&amp;qid=1447163831856&amp;from=EN</t>
  </si>
  <si>
    <t>The Monitoring and Reporting Regulation (Commission Regulation (EU) No. 601/2012, hereinafter the "MRR"), defines further requirements for monitoring and reporting. The MRR can be downloaded from:</t>
  </si>
  <si>
    <t>http://eur-lex.europa.eu/legal-content/EN/TXT/PDF/?uri=CELEX:02012R0601-20140730&amp;qid=1447163892338&amp;from=EN</t>
  </si>
  <si>
    <t>Article 12 of the MRR sets out specific requirements for the content and submission of the monitoring plan and its updates. Article 12 outlines the importance of the Monitoring plan as follows:</t>
  </si>
  <si>
    <t>The monitoring plan shall consist of a detailed, complete and transparent documentation of the monitoring methodology of a specific installation or aircraft operator and shall contain at least the elements laid down in Annex I.</t>
  </si>
  <si>
    <t>Furthermore, Article 74(1) states:</t>
  </si>
  <si>
    <t>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t>
  </si>
  <si>
    <t xml:space="preserve">This file constitutes the said template for monitoring plans for emissions of aircraft operators developed by the European Commission and includes the requirements defined in Annex I as well as further requirements to assist the aircraft operator in demonstrating compliance with the MRR. 
Under certain conditions as described below, it may have been amended to a limited extent by a Member State's competent authority. </t>
  </si>
  <si>
    <t>All Commission guidance documents on the Monitoring and Reporting Regulation can be found at:</t>
  </si>
  <si>
    <t>http://ec.europa.eu/clima/policies/ets/monitoring/index_en.htm</t>
  </si>
  <si>
    <t>The EU ETS for aviation has been expanded to cover the three EEA EFTA States Iceland, Liechtenstein and Norway, and will cover also Croatia from 2013 onwards. This means that aircraft operators also need to monitor and report their emissions and tonne-kilometre data from domestic flights within the EEA EFTA States, flights between the EEA EFTA States and flights between EEA EFTA States and third countries.</t>
  </si>
  <si>
    <t>Accordingly, all references to Member States in this template should be interpreted as including all 31 EEA States. The EEA comprises the 28 EU Member States, Iceland, Liechtenstein and Norway.</t>
  </si>
  <si>
    <t>Before you use this file, please carry out the following steps:</t>
  </si>
  <si>
    <r>
      <t>Make sure you know which Member State is responsible for administering you</t>
    </r>
    <r>
      <rPr>
        <sz val="10"/>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</si>
  <si>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r>
      <t>Make sure you know which Member State is responsible for administering you</t>
    </r>
    <r>
      <rPr>
        <sz val="10"/>
        <color theme="0" tint="-0.34998626667073579"/>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</si>
  <si>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t xml:space="preserve">Identify the Competent Authority (CA) responsible for your case in that administering Member State (there may be more than one CA per Member State). </t>
  </si>
  <si>
    <t>Check the CA's webpage or directly contact the CA in order to find out if you have the correct version of the template. The template version is clearly indicated on the cover page of this file.</t>
  </si>
  <si>
    <t>Some Member States may require you to use an alternative system, such as Internet-based forms instead of a spreadsheet. Check your administering Member State requirements. In this case the CA will provide further information to you.</t>
  </si>
  <si>
    <t>Read carefully the instructions below for filling this template.</t>
  </si>
  <si>
    <t>This Monitoring Plan must be submitted to your Competent Authority to the following address:</t>
  </si>
  <si>
    <t>Detail address to be provided by the Member State</t>
  </si>
  <si>
    <t>The CA may contact you to discuss modifications to your monitoring plan to ensure the accurate and verifiable monitoring and reporting of annual emissions, according to the general and specific requirements of the MRR. Notwithstanding Article 16(1) of the MRR, upon notification of approval from the CA you will use the latest approved version of the monitoring plan as the methodology to determine annual emissions and implement your data acquisition and handling activities and control activities. It will serve also as a reference for verification of your annual emissions report.</t>
  </si>
  <si>
    <t>You must notify any proposals for significant modifications to the monitoring plan to the CA without undue delay. Any significant change in your monitoring methodology shall be subject to approval by the CA, as set in Article 14 and 15 of the MRR. Where you can assume reasonably (in accordance with Article 15) that necessary updates of the monitoring plan are not significant, you may notify the CA of those updates jointly once per year in accordance with the deadline specified in that Article (subject to competent authority agreement).</t>
  </si>
  <si>
    <t>You must implement and keep records of all modifications to the monitoring plan in accordance with Article 16 of the MRR.</t>
  </si>
  <si>
    <t>Contact your Competent Authority if you need assistance to complete your Monitoring Plan. Some Member States have produced guidance documents which you may find useful.</t>
  </si>
  <si>
    <r>
      <t xml:space="preserve">Confidentiality statement: </t>
    </r>
    <r>
      <rPr>
        <sz val="10"/>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</si>
  <si>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r>
      <t xml:space="preserve">Confidentiality statement: </t>
    </r>
    <r>
      <rPr>
        <sz val="10"/>
        <color theme="0" tint="-0.34998626667073579"/>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</si>
  <si>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t>Information sources:</t>
  </si>
  <si>
    <t>EU Websites:</t>
  </si>
  <si>
    <t>EU-Legislation:</t>
  </si>
  <si>
    <t xml:space="preserve">http://eur-lex.europa.eu/en/index.htm </t>
  </si>
  <si>
    <t>EU ETS general:</t>
  </si>
  <si>
    <t>http://ec.europa.eu/clima/policies/ets/index_en.htm</t>
  </si>
  <si>
    <t xml:space="preserve">Aviation EU ETS: </t>
  </si>
  <si>
    <t>http://ec.europa.eu/clima/policies/transport/aviation/index_en.htm</t>
  </si>
  <si>
    <t xml:space="preserve">Monitoring and Reporting in the EU ETS: </t>
  </si>
  <si>
    <t>Other Websites:</t>
  </si>
  <si>
    <t>&lt;to be provided by Member State&gt;</t>
  </si>
  <si>
    <t>Helpdesk:</t>
  </si>
  <si>
    <t>&lt;to be provided by Member State, if relevant&gt;</t>
  </si>
  <si>
    <t>How to use this file:</t>
  </si>
  <si>
    <t>In order to minimize your workload, you may choose to enter only in one monitoring plan all the data which is needed identically in both monitoring plans (emissions and tonne-kilometre). This choice has to be made in input field 2(c). It is recommended to use the annual emission monitoring plan as the primary document, as this requires generally the more complete information. If you do not send both documents to the Competent Authority at the same time, you have to fill in this data in the first document.</t>
  </si>
  <si>
    <t>It is recommended that you go through the file from start to end. There are a few functions which will guide you through the form which depend on previous input, such as cells changing colour if an input is not needed (see colour codes below).</t>
  </si>
  <si>
    <t>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t>
  </si>
  <si>
    <t>Colour codes and fonts:</t>
  </si>
  <si>
    <t>Black bold text:</t>
  </si>
  <si>
    <t>This is text provided by the Commission template. It should be kept as it is.</t>
  </si>
  <si>
    <t>Smaller italic text:</t>
  </si>
  <si>
    <t>This text gives further explanations. Member States may add further explanations in MS specific versions of the template.</t>
  </si>
  <si>
    <t>Light yellow fields indicate input fields.</t>
  </si>
  <si>
    <t>Green fields show automatically calculated results. Red text indicates error messages (missing data etc.).</t>
  </si>
  <si>
    <t>Shaded fields indicate that an input in another field makes the input here irrelevant.</t>
  </si>
  <si>
    <t>Grey shaded areas should be filled by Member States before publishing customized version of the template.</t>
  </si>
  <si>
    <t>Member State-specific guidance is listed here:</t>
  </si>
  <si>
    <t>A. Monitoring Plan versions</t>
  </si>
  <si>
    <t>List of monitoring plan versions</t>
  </si>
  <si>
    <t>This sheet is used for tracking the actual version of the monitoring plan. Each version of the monitoring plan should have a unique version number, and a reference date.</t>
  </si>
  <si>
    <t>Depending on the requirements of the administering Member State, it is possible that the document is exchanged between competent authority and aircraft operator with various updates, or that the aircraft operator alone keeps track of the versions. In any case, the aircraft operator should keep in his files a copy of each version of the monitoring plan.</t>
  </si>
  <si>
    <t>The status of the monitoring plan at the reference date should be described in the "status" column. Possible status types include "submitted to the competent authority (CA)", "approved by the CA", "working draft" etc.</t>
  </si>
  <si>
    <t>Please note that monitoring of the emissions of the aircraft operator must always be carried out in accordance with the latest approved version of the monitoring plan, except in cases where an update of the MP has already been submitted to the CA and/or is pending approval. In accordance with Article 16(1), in such situations the monitoring must be carried out in parallel using the latest approved as well as the latest MP submitted for approval.</t>
  </si>
  <si>
    <t>Version No</t>
  </si>
  <si>
    <t>Reference date</t>
  </si>
  <si>
    <t>Status at reference date</t>
  </si>
  <si>
    <t>Chapters where modifications have been made. 
Brief explanation of changes</t>
  </si>
  <si>
    <t>Please add more lines if necessary</t>
  </si>
  <si>
    <t>IDENTIFICATION OF THE AIRCRAFT OPERATOR AND DESCRIPTION OF ACTIVITIES</t>
  </si>
  <si>
    <t>Identification of Aircraft Operator</t>
  </si>
  <si>
    <t>Please enter the name of the aircraft operator:</t>
  </si>
  <si>
    <t>This name should be the legal entity carrying out the aviation activities defined in Annex I of the EU ETS Directive</t>
  </si>
  <si>
    <t>Unique Identifier as stated in the Commission's list of aircraft operators:</t>
  </si>
  <si>
    <t>This identifier can be found on the list published by the Commission pursuant to Article 18a(3) of the EU ETS Directive.</t>
  </si>
  <si>
    <t>Please choose the primary monitoring plan:</t>
  </si>
  <si>
    <t>Explanation: There are several fields in this template that are identical in the template for the tonne-kilometre data monitoring plan, like address information, and information regarding the aircraft fleet. In order to avoid unnecessary duplication of reporting, you may select here either the annual emission monitoring plan (this file) or the monitoring plan for tonne-kilometre data as the primary document. As soon as you have made your selection, you have to fill in the requested information only once in the selected document.</t>
  </si>
  <si>
    <t>Is this a new or an updated monitoring plan?</t>
  </si>
  <si>
    <r>
      <t>Note</t>
    </r>
    <r>
      <rPr>
        <i/>
        <sz val="8"/>
        <color indexed="62"/>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</si>
  <si>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Note</t>
    </r>
    <r>
      <rPr>
        <i/>
        <sz val="8"/>
        <color theme="0" tint="-0.34998626667073579"/>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</si>
  <si>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t>Actual version number of the monitoring plan</t>
  </si>
  <si>
    <t>Note: This number will also be displayed on the cover page of this file. It should be consistent with your entry in section 1.</t>
  </si>
  <si>
    <t>&lt;&lt;&lt; If you have selected the t-km monitoring plan under 2(c), click here to proceed to section 3a &gt;&gt;&gt;</t>
  </si>
  <si>
    <t>If different to the name given in 2(a), please also enter the name of the aircraft operator as it appears on the Commission's list of operators:</t>
  </si>
  <si>
    <t>The name of the aircraft operator on the list pursuant to Article 18a(3) of the EU ETS Directive may be different to the actual aircraft operator's name entered in 2(a) above.</t>
  </si>
  <si>
    <t>Please enter the unique ICAO designator used in the call sign for Air Traffic Control (ATC) purposes, where available:</t>
  </si>
  <si>
    <t>The ICAO designator should be that specified in box 7 of the ICAO flight plan (excluding the flight identification) as specified in ICAO document 8585.  If you do not specify an ICAO designator in flight plans, please select "n.a." from the drop down list and proceed to 2(g).</t>
  </si>
  <si>
    <t>Where a unique ICAO designator for ATC purposes is not available, please provide the aircraft registration markings used in the call sign for ATC purposes for the aircraft you operate.</t>
  </si>
  <si>
    <t>If a unique ICAO designator is not available, enter the identification for ATC purposes (tail numbers) of all the aircraft you operate as used in box 7 of the flight plan.  (Please separate each registration with a semicolon.) Otherwise enter "n.a." and proceed.</t>
  </si>
  <si>
    <t>Please enter the administering Member State of the aircraft operator</t>
  </si>
  <si>
    <t>pursuant to Art. 18a of the Directive.</t>
  </si>
  <si>
    <t>Competent authority in this Member State:</t>
  </si>
  <si>
    <t>In some Member States there is more than one Competent Authority dealing with the EU ETS for aircraft operators. Please enter the name of the appropriate authority, if applicable. Otherwise choose "n.a.".</t>
  </si>
  <si>
    <t>Please enter the number and issuing authority of the Air Operator Certificate (AOC) and Operating Licence granted by a Member State if available:</t>
  </si>
  <si>
    <t>Air Operator Certificate:</t>
  </si>
  <si>
    <t>AOC Issuing authority:</t>
  </si>
  <si>
    <t>Operating Licence:</t>
  </si>
  <si>
    <t>Issuing authority:</t>
  </si>
  <si>
    <t>Please enter the address of the aircraft operator, including postcode and country:</t>
  </si>
  <si>
    <t>Address Line 1</t>
  </si>
  <si>
    <t>Address Line 2</t>
  </si>
  <si>
    <t>City</t>
  </si>
  <si>
    <t>State/Province/Region</t>
  </si>
  <si>
    <t>Postcode/ZIP</t>
  </si>
  <si>
    <t>Country</t>
  </si>
  <si>
    <t>Email address</t>
  </si>
  <si>
    <t>If different to the information given above in part (k), please enter the contact address of the aircraft operator (including postcode) in the administering Member State, if any:</t>
  </si>
  <si>
    <t>Please provide details of the ownership structure of your firm and whether you have subsidiaries or parent companies</t>
  </si>
  <si>
    <t>Please include in your description the unique ICAO designator of your subsidiaries or parent company, and indicate the administering Member State of these entities, if applicable. Add attachments to your submission as necessary to show a diagram of your ownership structure.</t>
  </si>
  <si>
    <t>Please note that your Administering Member State may ask you further details about contact addresses and company structure (see worksheet "MS specific content").</t>
  </si>
  <si>
    <t>Description of the activities of the aircraft operator falling under Annex I of the EU ETS Directive</t>
  </si>
  <si>
    <t>Please specify whether you are a commercial or non-commercial air transport operator, whether you operate scheduled, non-scheduled flights or both and, whether the scope of your operations covers only the EEA or also non EEA countries.</t>
  </si>
  <si>
    <t>Operator status</t>
  </si>
  <si>
    <t>Commercial air transport operators: Please attach a copy of Annex I of your AOC to this monitoring plan as evidence.</t>
  </si>
  <si>
    <t>Scheduling of flights</t>
  </si>
  <si>
    <t>Scope of operations</t>
  </si>
  <si>
    <t>Please provide further description of your activities as necessary.</t>
  </si>
  <si>
    <t xml:space="preserve"> Contact details and Address for Service</t>
  </si>
  <si>
    <t>Who can we contact about your monitoring plan?</t>
  </si>
  <si>
    <t>It will help us to have someone who we can contact directly with any questions about your monitoring plan. The person you name should have the authority to act on your behalf. This could be an agent acting on behalf of the aircraft operator.</t>
  </si>
  <si>
    <t>Title:</t>
  </si>
  <si>
    <t>First Name:</t>
  </si>
  <si>
    <t>Surname:</t>
  </si>
  <si>
    <t>Job title:</t>
  </si>
  <si>
    <t>Organisation name (if acting on behalf of the aircraft operator):</t>
  </si>
  <si>
    <t>Telephone number:</t>
  </si>
  <si>
    <t>Email address:</t>
  </si>
  <si>
    <t>&lt;&lt;&lt; If you have selected the t-km monitoring plan under 2(c), click here to proceed to section 4 &gt;&gt;&gt;</t>
  </si>
  <si>
    <t>Please provide an address for receipt of correspondence</t>
  </si>
  <si>
    <t xml:space="preserve">
</t>
  </si>
  <si>
    <t>You must provide an address for receipt of notices or other documents under or in connection with the EU Greenhouse Gas Emissions Trading Scheme. Please provide an electronic address and a postal address, if applicable, within the administering Member State.</t>
  </si>
  <si>
    <t>Address Line 1:</t>
  </si>
  <si>
    <t>Address Line 2:</t>
  </si>
  <si>
    <t>City:</t>
  </si>
  <si>
    <t>State/Province/Region:</t>
  </si>
  <si>
    <t>Postcode/ZIP:</t>
  </si>
  <si>
    <t>Country:</t>
  </si>
  <si>
    <t>&lt;&lt;&lt; Click here to proceed to next section &gt;&gt;&gt;</t>
  </si>
  <si>
    <t>EMISSION SOURCES and FLEET CHARACTERISTICS</t>
  </si>
  <si>
    <t>About your operations</t>
  </si>
  <si>
    <t>Under 2(c) you have chosen:</t>
  </si>
  <si>
    <r>
      <t xml:space="preserve">Please provide a list of the aircraft types operated at the </t>
    </r>
    <r>
      <rPr>
        <b/>
        <u/>
        <sz val="10"/>
        <rFont val="Arial"/>
        <family val="2"/>
      </rPr>
      <t>time of submission of this monitoring plan</t>
    </r>
    <r>
      <rPr>
        <b/>
        <sz val="10"/>
        <rFont val="Arial"/>
        <family val="2"/>
      </rPr>
      <t>.</t>
    </r>
  </si>
  <si>
    <r>
      <t xml:space="preserve">Please provide a list of the aircraft types operated at the </t>
    </r>
    <r>
      <rPr>
        <b/>
        <u/>
        <sz val="10"/>
        <color theme="0" tint="-0.34998626667073579"/>
        <rFont val="Arial"/>
        <family val="2"/>
      </rPr>
      <t>time of submission of this monitoring plan</t>
    </r>
    <r>
      <rPr>
        <b/>
        <sz val="10"/>
        <color theme="0" tint="-0.34998626667073579"/>
        <rFont val="Arial"/>
        <family val="2"/>
      </rPr>
      <t>.</t>
    </r>
  </si>
  <si>
    <t>The list should include all aircraft types (by ICAO aircraft type designator - DOC8643), which you operate at the time of submission of this monitoring plan and the number of aircraft per type,  including owned aircraft, as well as leased-in aircraft. You are required to list only aircraft types used for carrying out activities falling under Annex I of the EU ETS Directive.</t>
  </si>
  <si>
    <t>You may use the second column to further specify sub-types of that aircraft type, if relevant for defining the monitoring methodology. This can be useful e.g. if there are different types of on-board measurement systems, different data transmission systems (e.g. ACARS) etc.</t>
  </si>
  <si>
    <t>For each aircraft type you have to specify which fuels will be used (which "source streams" will be associated with the emission sources). You can do that by entering "1" or "TRUE" in the appropriate fields. Leave the field blank if the fuel is not used.</t>
  </si>
  <si>
    <t>Please note: A part of the data to be entered in this subsection is identical to the information in the t-km data monitoring plan. However, more information is needed for emission monitoring. Thus the data has to be filled in here. You may reduce your workload by referring from the t-km monitoring plan to the information given here.</t>
  </si>
  <si>
    <t>Date of submission of monitoring plan:</t>
  </si>
  <si>
    <t xml:space="preserve">
Generic aircraft type 
(ICAO aircraft type designator)</t>
  </si>
  <si>
    <t xml:space="preserve">
Sub-type (optional input)</t>
  </si>
  <si>
    <t xml:space="preserve">
Number of aircraft operated at time of submission</t>
  </si>
  <si>
    <t>jet kerosene
(Jet A1 or Jet A)</t>
  </si>
  <si>
    <t>jet gasoline 
(Jet B)</t>
  </si>
  <si>
    <t>aviation gasoline (AvGas)</t>
  </si>
  <si>
    <t>other alternative fuel</t>
  </si>
  <si>
    <t>Please add further lines if needed. For this purpose it is recommended to copy a full line above, and then use the "insert copied cells" command available in the context menu of the right mouse click. If you use only the "insert line" command, the correct format is not ensured.</t>
  </si>
  <si>
    <t>Only in case of very large fleets you should provide the list as a separate sheet in this file.</t>
  </si>
  <si>
    <t>Please provide an indicative list of additional aircraft types expected to be used.</t>
  </si>
  <si>
    <t xml:space="preserve">Please note that this list should not include any of the aircraft listed in table 4(a) above.  Where available, please also provide an estimated number of aircraft per type, either as a number or an indicative range. </t>
  </si>
  <si>
    <t xml:space="preserve">
Estimated number of aircraft to be operated</t>
  </si>
  <si>
    <t>&lt;&lt;&lt; If you have chosen the t-km monitoring plan, click here to continue with section 4(f). &gt;&gt;&gt;</t>
  </si>
  <si>
    <r>
      <t xml:space="preserve">Please provide details about the systems, procedures and responsibilities used to track the completeness of the list of </t>
    </r>
    <r>
      <rPr>
        <b/>
        <u/>
        <sz val="10"/>
        <rFont val="Arial"/>
        <family val="2"/>
      </rPr>
      <t>emission sources</t>
    </r>
    <r>
      <rPr>
        <b/>
        <sz val="10"/>
        <rFont val="Arial"/>
        <family val="2"/>
      </rPr>
      <t xml:space="preserve"> (aircraft used) over the monitoring year.</t>
    </r>
  </si>
  <si>
    <r>
      <t xml:space="preserve">Please provide details about the systems, procedures and responsibilities used to track the completeness of the list of </t>
    </r>
    <r>
      <rPr>
        <b/>
        <u/>
        <sz val="10"/>
        <color theme="0" tint="-0.34998626667073579"/>
        <rFont val="Arial"/>
        <family val="2"/>
      </rPr>
      <t>emission sources</t>
    </r>
    <r>
      <rPr>
        <b/>
        <sz val="10"/>
        <color theme="0" tint="-0.34998626667073579"/>
        <rFont val="Arial"/>
        <family val="2"/>
      </rPr>
      <t xml:space="preserve"> (aircraft used) over the monitoring year.</t>
    </r>
  </si>
  <si>
    <r>
      <t xml:space="preserve">The items specified below should ensure the completeness of monitoring and reporting of the emissions of all aircraft used during the monitoring year, including </t>
    </r>
    <r>
      <rPr>
        <i/>
        <u/>
        <sz val="8"/>
        <color indexed="18"/>
        <rFont val="Arial"/>
        <family val="2"/>
      </rPr>
      <t>owned</t>
    </r>
    <r>
      <rPr>
        <i/>
        <sz val="8"/>
        <color indexed="18"/>
        <rFont val="Arial"/>
        <family val="2"/>
      </rPr>
      <t xml:space="preserve"> aircraft, as well as </t>
    </r>
    <r>
      <rPr>
        <i/>
        <u/>
        <sz val="8"/>
        <color indexed="18"/>
        <rFont val="Arial"/>
        <family val="2"/>
      </rPr>
      <t>leased-in</t>
    </r>
    <r>
      <rPr>
        <i/>
        <sz val="8"/>
        <color indexed="18"/>
        <rFont val="Arial"/>
        <family val="2"/>
      </rPr>
      <t xml:space="preserve"> aircraft.</t>
    </r>
  </si>
  <si>
    <r>
      <t xml:space="preserve">The items specified below should ensure the completeness of monitoring and reporting of the emissions of all aircraft used during the monitoring year, including </t>
    </r>
    <r>
      <rPr>
        <i/>
        <u/>
        <sz val="8"/>
        <color theme="0" tint="-0.34998626667073579"/>
        <rFont val="Arial"/>
        <family val="2"/>
      </rPr>
      <t>owned</t>
    </r>
    <r>
      <rPr>
        <i/>
        <sz val="8"/>
        <color theme="0" tint="-0.34998626667073579"/>
        <rFont val="Arial"/>
        <family val="2"/>
      </rPr>
      <t xml:space="preserve"> aircraft, as well as </t>
    </r>
    <r>
      <rPr>
        <i/>
        <u/>
        <sz val="8"/>
        <color theme="0" tint="-0.34998626667073579"/>
        <rFont val="Arial"/>
        <family val="2"/>
      </rPr>
      <t>leased-in</t>
    </r>
    <r>
      <rPr>
        <i/>
        <sz val="8"/>
        <color theme="0" tint="-0.34998626667073579"/>
        <rFont val="Arial"/>
        <family val="2"/>
      </rPr>
      <t xml:space="preserve"> aircraft.</t>
    </r>
  </si>
  <si>
    <t>Title of procedure</t>
  </si>
  <si>
    <t>Reference for procedure</t>
  </si>
  <si>
    <t xml:space="preserve">
</t>
  </si>
  <si>
    <t>Brief description of procedure</t>
  </si>
  <si>
    <t>Post or department responsible for data maintenance</t>
  </si>
  <si>
    <t>Location where records are kept</t>
  </si>
  <si>
    <t>Name of system used (where applicable)</t>
  </si>
  <si>
    <r>
      <t xml:space="preserve">Please provide details about the procedures to monitor the completeness of the </t>
    </r>
    <r>
      <rPr>
        <b/>
        <u/>
        <sz val="10"/>
        <rFont val="Arial"/>
        <family val="2"/>
      </rPr>
      <t>list of flights</t>
    </r>
    <r>
      <rPr>
        <b/>
        <sz val="10"/>
        <rFont val="Arial"/>
        <family val="2"/>
      </rPr>
      <t xml:space="preserve"> operated under the unique designator by aerodrome pair.</t>
    </r>
  </si>
  <si>
    <r>
      <t xml:space="preserve">Please provide details about the procedures to monitor the completeness of the </t>
    </r>
    <r>
      <rPr>
        <b/>
        <u/>
        <sz val="10"/>
        <color theme="0" tint="-0.34998626667073579"/>
        <rFont val="Arial"/>
        <family val="2"/>
      </rPr>
      <t>list of flights</t>
    </r>
    <r>
      <rPr>
        <b/>
        <sz val="10"/>
        <color theme="0" tint="-0.34998626667073579"/>
        <rFont val="Arial"/>
        <family val="2"/>
      </rPr>
      <t xml:space="preserve"> operated under the unique designator by aerodrome pair.</t>
    </r>
  </si>
  <si>
    <r>
      <t xml:space="preserve">Please detail the procedures and systems in place to keep an updated detailed </t>
    </r>
    <r>
      <rPr>
        <i/>
        <u/>
        <sz val="8"/>
        <color indexed="18"/>
        <rFont val="Arial"/>
        <family val="2"/>
      </rPr>
      <t>list of aerodrome pairs</t>
    </r>
    <r>
      <rPr>
        <i/>
        <sz val="8"/>
        <color indexed="18"/>
        <rFont val="Arial"/>
        <family val="2"/>
      </rPr>
      <t xml:space="preserve"> </t>
    </r>
    <r>
      <rPr>
        <i/>
        <u/>
        <sz val="8"/>
        <color indexed="18"/>
        <rFont val="Arial"/>
        <family val="2"/>
      </rPr>
      <t>and flights operated</t>
    </r>
    <r>
      <rPr>
        <i/>
        <sz val="8"/>
        <color indexed="18"/>
        <rFont val="Arial"/>
        <family val="2"/>
      </rPr>
      <t xml:space="preserve"> during the monitoring period as well as the procedures in place to ensure completeness and non-duplication of data.</t>
    </r>
  </si>
  <si>
    <r>
      <t xml:space="preserve">Please detail the procedures and systems in place to keep an updated detailed </t>
    </r>
    <r>
      <rPr>
        <i/>
        <u/>
        <sz val="8"/>
        <color theme="0" tint="-0.34998626667073579"/>
        <rFont val="Arial"/>
        <family val="2"/>
      </rPr>
      <t>list of aerodrome pairs</t>
    </r>
    <r>
      <rPr>
        <i/>
        <sz val="8"/>
        <color theme="0" tint="-0.34998626667073579"/>
        <rFont val="Arial"/>
        <family val="2"/>
      </rPr>
      <t xml:space="preserve"> </t>
    </r>
    <r>
      <rPr>
        <i/>
        <u/>
        <sz val="8"/>
        <color theme="0" tint="-0.34998626667073579"/>
        <rFont val="Arial"/>
        <family val="2"/>
      </rPr>
      <t>and flights operated</t>
    </r>
    <r>
      <rPr>
        <i/>
        <sz val="8"/>
        <color theme="0" tint="-0.34998626667073579"/>
        <rFont val="Arial"/>
        <family val="2"/>
      </rPr>
      <t xml:space="preserve"> during the monitoring period as well as the procedures in place to ensure completeness and non-duplication of data.</t>
    </r>
  </si>
  <si>
    <t>Please provide details about the procedures for determining whether flights are covered by Annex I of the Directive, ensuring completeness and avoiding double counting.</t>
  </si>
  <si>
    <r>
      <t xml:space="preserve">Please detail the systems in place to keep an updated detailed </t>
    </r>
    <r>
      <rPr>
        <i/>
        <u/>
        <sz val="8"/>
        <color indexed="18"/>
        <rFont val="Arial"/>
        <family val="2"/>
      </rPr>
      <t xml:space="preserve">list of flights </t>
    </r>
    <r>
      <rPr>
        <i/>
        <sz val="8"/>
        <color indexed="18"/>
        <rFont val="Arial"/>
        <family val="2"/>
      </rPr>
      <t>during the monitoring period which are included/excluded from EU ETS, as well as the procedures in place to ensure completeness and non-duplication of data.</t>
    </r>
  </si>
  <si>
    <r>
      <t xml:space="preserve">Please detail the systems in place to keep an updated detailed </t>
    </r>
    <r>
      <rPr>
        <i/>
        <u/>
        <sz val="8"/>
        <color theme="0" tint="-0.34998626667073579"/>
        <rFont val="Arial"/>
        <family val="2"/>
      </rPr>
      <t xml:space="preserve">list of flights </t>
    </r>
    <r>
      <rPr>
        <i/>
        <sz val="8"/>
        <color theme="0" tint="-0.34998626667073579"/>
        <rFont val="Arial"/>
        <family val="2"/>
      </rPr>
      <t>during the monitoring period which are included/excluded from EU ETS, as well as the procedures in place to ensure completeness and non-duplication of data.</t>
    </r>
  </si>
  <si>
    <r>
      <t>Please provide an estimate/prediction of the total annual fossil CO</t>
    </r>
    <r>
      <rPr>
        <b/>
        <vertAlign val="subscript"/>
        <sz val="10"/>
        <rFont val="Arial"/>
        <family val="2"/>
      </rPr>
      <t>2</t>
    </r>
    <r>
      <rPr>
        <b/>
        <sz val="10"/>
        <rFont val="Arial"/>
        <family val="2"/>
      </rPr>
      <t xml:space="preserve"> emissions for Annex 1 activities.</t>
    </r>
  </si>
  <si>
    <r>
      <t>Please provide an estimate/prediction of the total annual fossil CO</t>
    </r>
    <r>
      <rPr>
        <b/>
        <vertAlign val="subscript"/>
        <sz val="10"/>
        <color theme="0" tint="-0.34998626667073579"/>
        <rFont val="Arial"/>
        <family val="2"/>
      </rPr>
      <t>2</t>
    </r>
    <r>
      <rPr>
        <b/>
        <sz val="10"/>
        <color theme="0" tint="-0.34998626667073579"/>
        <rFont val="Arial"/>
        <family val="2"/>
      </rPr>
      <t xml:space="preserve"> emissions for Annex 1 activities.</t>
    </r>
  </si>
  <si>
    <t>The figure should only include those flights, which are covered by EU ETS.</t>
  </si>
  <si>
    <r>
      <t>tonnes CO</t>
    </r>
    <r>
      <rPr>
        <b/>
        <vertAlign val="subscript"/>
        <sz val="8"/>
        <rFont val="Arial"/>
        <family val="2"/>
      </rPr>
      <t>2</t>
    </r>
  </si>
  <si>
    <r>
      <t>tonnes CO</t>
    </r>
    <r>
      <rPr>
        <b/>
        <vertAlign val="subscript"/>
        <sz val="8"/>
        <color theme="0" tint="-0.34998626667073579"/>
        <rFont val="Arial"/>
        <family val="2"/>
      </rPr>
      <t>2</t>
    </r>
  </si>
  <si>
    <t>Eligibility for simplified procedures for small emitters</t>
  </si>
  <si>
    <r>
      <t>Please confirm whether you operate fewer than 243 flights per period for three consecutive four-month periods; or operate flights with total annual fossil CO</t>
    </r>
    <r>
      <rPr>
        <b/>
        <vertAlign val="subscript"/>
        <sz val="10"/>
        <rFont val="Arial"/>
        <family val="2"/>
      </rPr>
      <t>2</t>
    </r>
    <r>
      <rPr>
        <b/>
        <sz val="10"/>
        <rFont val="Arial"/>
        <family val="2"/>
      </rPr>
      <t xml:space="preserve"> emissions lower than 25 000 tonnes per year?</t>
    </r>
  </si>
  <si>
    <r>
      <t>Please confirm whether you operate fewer than 243 flights per period for three consecutive four-month periods; or operate flights with total annual fossil CO</t>
    </r>
    <r>
      <rPr>
        <b/>
        <vertAlign val="subscript"/>
        <sz val="10"/>
        <color theme="0" tint="-0.34998626667073579"/>
        <rFont val="Arial"/>
        <family val="2"/>
      </rPr>
      <t>2</t>
    </r>
    <r>
      <rPr>
        <b/>
        <sz val="10"/>
        <color theme="0" tint="-0.34998626667073579"/>
        <rFont val="Arial"/>
        <family val="2"/>
      </rPr>
      <t xml:space="preserve"> emissions lower than 25 000 tonnes per year?</t>
    </r>
  </si>
  <si>
    <t>Operators who are considered to be small emitters may choose to use simplified procedures to estimate fuel consumption using tools implemented by Eurocontrol or another relevant organisation. In this case, complete the worksheet "simplified calculation" instead of the worksheet "calculation".</t>
  </si>
  <si>
    <t>&lt;&lt;&lt; If you have chosen "False", please continue directly to section 6. &gt;&gt;&gt;</t>
  </si>
  <si>
    <t>If you have selected "TRUE" in response to 5(a), do you intend to use simplified procedures to estimate fuel consumption?</t>
  </si>
  <si>
    <t>If you have selected "TRUE", please provide information to support your eligibility for the simplified calculation procedures and then proceed directly to the tab "Simplified Calculation" (Section 9).</t>
  </si>
  <si>
    <r>
      <t>Provide suitable information to support the fact that you operate fewer than 243 flights per period for three consecutive four-month periods or that your annual emissions are lower than 25 000 tonnes of CO</t>
    </r>
    <r>
      <rPr>
        <i/>
        <vertAlign val="subscript"/>
        <sz val="8"/>
        <rFont val="Arial"/>
        <family val="2"/>
      </rPr>
      <t>2</t>
    </r>
    <r>
      <rPr>
        <i/>
        <sz val="8"/>
        <rFont val="Arial"/>
        <family val="2"/>
      </rPr>
      <t xml:space="preserve"> per year. Where necessary, you can attach further documents (see Section 15).</t>
    </r>
  </si>
  <si>
    <r>
      <t>Provide suitable information to support the fact that you operate fewer than 243 flights per period for three consecutive four-month periods or that your annual emissions are lower than 25 000 tonnes of CO</t>
    </r>
    <r>
      <rPr>
        <i/>
        <vertAlign val="subscript"/>
        <sz val="8"/>
        <color theme="0" tint="-0.34998626667073579"/>
        <rFont val="Arial"/>
        <family val="2"/>
      </rPr>
      <t>2</t>
    </r>
    <r>
      <rPr>
        <i/>
        <sz val="8"/>
        <color theme="0" tint="-0.34998626667073579"/>
        <rFont val="Arial"/>
        <family val="2"/>
      </rPr>
      <t xml:space="preserve"> per year. Where necessary, you can attach further documents (see Section 15).</t>
    </r>
  </si>
  <si>
    <t>&lt;&lt;&lt; Click here to proceed to section 9 "Simplified Calculation" &gt;&gt;&gt;</t>
  </si>
  <si>
    <r>
      <t>CALCULATION OF CO</t>
    </r>
    <r>
      <rPr>
        <b/>
        <vertAlign val="subscript"/>
        <sz val="14"/>
        <rFont val="Arial"/>
        <family val="2"/>
      </rPr>
      <t>2</t>
    </r>
    <r>
      <rPr>
        <b/>
        <sz val="14"/>
        <rFont val="Arial"/>
        <family val="2"/>
      </rPr>
      <t xml:space="preserve"> EMISSIONS </t>
    </r>
  </si>
  <si>
    <r>
      <t>CALCULATION OF CO</t>
    </r>
    <r>
      <rPr>
        <b/>
        <vertAlign val="subscript"/>
        <sz val="14"/>
        <color theme="0" tint="-0.34998626667073579"/>
        <rFont val="Arial"/>
        <family val="2"/>
      </rPr>
      <t>2</t>
    </r>
    <r>
      <rPr>
        <b/>
        <sz val="14"/>
        <color theme="0" tint="-0.34998626667073579"/>
        <rFont val="Arial"/>
        <family val="2"/>
      </rPr>
      <t xml:space="preserve"> EMISSIONS </t>
    </r>
  </si>
  <si>
    <t>&lt;&lt;&lt; Go to Section 9 if eligible for simplified calculation &gt;&gt;&gt;</t>
  </si>
  <si>
    <r>
      <t xml:space="preserve">Please specify the methodology used to measure fuel consumption for </t>
    </r>
    <r>
      <rPr>
        <b/>
        <u/>
        <sz val="10"/>
        <rFont val="Arial"/>
        <family val="2"/>
      </rPr>
      <t>each aircraft type</t>
    </r>
    <r>
      <rPr>
        <b/>
        <sz val="10"/>
        <rFont val="Arial"/>
        <family val="2"/>
      </rPr>
      <t>.</t>
    </r>
  </si>
  <si>
    <r>
      <t xml:space="preserve">Please specify the methodology used to measure fuel consumption for </t>
    </r>
    <r>
      <rPr>
        <b/>
        <u/>
        <sz val="10"/>
        <color theme="0" tint="-0.34998626667073579"/>
        <rFont val="Arial"/>
        <family val="2"/>
      </rPr>
      <t>each aircraft type</t>
    </r>
    <r>
      <rPr>
        <b/>
        <sz val="10"/>
        <color theme="0" tint="-0.34998626667073579"/>
        <rFont val="Arial"/>
        <family val="2"/>
      </rPr>
      <t>.</t>
    </r>
  </si>
  <si>
    <t>In each case, the method chosen should provide for the most complete and timely data combined with the lowest uncertainty without incurring unreasonable costs. 
Note that the Aircraft types are automatically taken from section 4(a).</t>
  </si>
  <si>
    <t>Method A</t>
  </si>
  <si>
    <t>Actual fuel consumption for each flight (tonnes) = Amount of fuel contained in aircraft tanks once fuel uplift for the flight is complete (tonnes) - Amount of fuel contained in aircraft tanks once fuel uplift for subsequent flight is complete (tonnes) + Fuel uplift for that subsequent flight (tonnes)</t>
  </si>
  <si>
    <t>Method B</t>
  </si>
  <si>
    <t>Actual fuel consumption for each flight (tonnes) = Amount of fuel remaining in aircraft tanks at block-on at the end of the previous flight (tonnes) + Fuel uplift for the flight (tonnes) - Amount of fuel contained in tanks at block-on at the end of the flight (tonnes)</t>
  </si>
  <si>
    <t>Generic aircraft type (ICAO aircraft type designator) and sub-type</t>
  </si>
  <si>
    <t>Method (A/B)</t>
  </si>
  <si>
    <t>Data source used to determine fuel uplift</t>
  </si>
  <si>
    <t>Methods for transmitting, storing and retrieving data</t>
  </si>
  <si>
    <t>Please continue on a separate sheet as required.</t>
  </si>
  <si>
    <r>
      <t xml:space="preserve">If the chosen methodology (Method A/Method B) is not applied for </t>
    </r>
    <r>
      <rPr>
        <b/>
        <u/>
        <sz val="10"/>
        <rFont val="Arial"/>
        <family val="2"/>
      </rPr>
      <t>all aircraft types</t>
    </r>
    <r>
      <rPr>
        <b/>
        <sz val="10"/>
        <rFont val="Arial"/>
        <family val="2"/>
      </rPr>
      <t>, please provide a justification for this approach in the box below</t>
    </r>
  </si>
  <si>
    <r>
      <t xml:space="preserve">If the chosen methodology (Method A/Method B) is not applied for </t>
    </r>
    <r>
      <rPr>
        <b/>
        <u/>
        <sz val="10"/>
        <color theme="0" tint="-0.34998626667073579"/>
        <rFont val="Arial"/>
        <family val="2"/>
      </rPr>
      <t>all aircraft types</t>
    </r>
    <r>
      <rPr>
        <b/>
        <sz val="10"/>
        <color theme="0" tint="-0.34998626667073579"/>
        <rFont val="Arial"/>
        <family val="2"/>
      </rPr>
      <t>, please provide a justification for this approach in the box below</t>
    </r>
  </si>
  <si>
    <t xml:space="preserve">
</t>
  </si>
  <si>
    <r>
      <t xml:space="preserve">Please provide details about the procedure to be used for defining the monitoring methodology for </t>
    </r>
    <r>
      <rPr>
        <b/>
        <u/>
        <sz val="10"/>
        <rFont val="Arial"/>
        <family val="2"/>
      </rPr>
      <t>additional aircraft types</t>
    </r>
    <r>
      <rPr>
        <b/>
        <sz val="10"/>
        <rFont val="Arial"/>
        <family val="2"/>
      </rPr>
      <t>.</t>
    </r>
  </si>
  <si>
    <r>
      <t xml:space="preserve">Please provide details about the procedure to be used for defining the monitoring methodology for </t>
    </r>
    <r>
      <rPr>
        <b/>
        <u/>
        <sz val="10"/>
        <color theme="0" tint="-0.34998626667073579"/>
        <rFont val="Arial"/>
        <family val="2"/>
      </rPr>
      <t>additional aircraft types</t>
    </r>
    <r>
      <rPr>
        <b/>
        <sz val="10"/>
        <color theme="0" tint="-0.34998626667073579"/>
        <rFont val="Arial"/>
        <family val="2"/>
      </rPr>
      <t>.</t>
    </r>
  </si>
  <si>
    <t>While this monitoring plan in general defines the monitoring methodology for the aircraft already in your fleet at the time of submission of the monitoring plan to the competent authority (see point 4(a)), a defined procedure is needed to ensure that any additional aircraft that are expected to be used (e.g. those listed under 4(b)) will be properly monitored as well. The items specified below should ensure that a monitoring methodology is defined for any aircraft type operated.</t>
  </si>
  <si>
    <r>
      <t>Name of system</t>
    </r>
    <r>
      <rPr>
        <sz val="8"/>
        <rFont val="Arial"/>
        <family val="2"/>
      </rPr>
      <t xml:space="preserve"> used (where applicable).</t>
    </r>
  </si>
  <si>
    <r>
      <t>Name of system</t>
    </r>
    <r>
      <rPr>
        <sz val="8"/>
        <color theme="0" tint="-0.34998626667073579"/>
        <rFont val="Arial"/>
        <family val="2"/>
      </rPr>
      <t xml:space="preserve"> used (where applicable).</t>
    </r>
  </si>
  <si>
    <t>Complete the following table with information about the systems and procedures to monitor fuel consumption per flight in both owned and leased-in aircraft.</t>
  </si>
  <si>
    <t>The procedure must include the selected tiers, a description of the measurement equipment, and the procedures for recording, retrieving, transmitting and storing information.</t>
  </si>
  <si>
    <t>Please specify the method used to determine the density used for fuel uplifts and fuel in tanks, for each aircraft type.</t>
  </si>
  <si>
    <t>Actual density values should be used unless it is shown to the satisfaction of the Competent Authority that actual values are not available and a standard density factor of 0.8 kg/l shall be applied.</t>
  </si>
  <si>
    <t>Generic aircraft type (ICAO aircraft type designator)  and sub-type</t>
  </si>
  <si>
    <t>Method to determine actual density values of fuel uplifts</t>
  </si>
  <si>
    <t>Method to determine actual density values of fuel in tanks</t>
  </si>
  <si>
    <t>Justification for using standard value if measurement is not feasible, and other remarks</t>
  </si>
  <si>
    <t>Please continue on a separate sheet if required.</t>
  </si>
  <si>
    <t>Complete the following table with information about the procedures for measurement of the density used for fuel uplifts and fuel in tanks, in both owned and leased-in aircraft.</t>
  </si>
  <si>
    <t>The procedure must include a description of the measurement instruments involved, or if measurement is not feasible, justification for applying the standard value.</t>
  </si>
  <si>
    <r>
      <t xml:space="preserve">If applicable, provide a list of </t>
    </r>
    <r>
      <rPr>
        <b/>
        <u/>
        <sz val="10"/>
        <rFont val="Arial"/>
        <family val="2"/>
      </rPr>
      <t>deviations</t>
    </r>
    <r>
      <rPr>
        <b/>
        <sz val="10"/>
        <rFont val="Arial"/>
        <family val="2"/>
      </rPr>
      <t xml:space="preserve"> from the general methodologies for determining </t>
    </r>
    <r>
      <rPr>
        <b/>
        <u/>
        <sz val="10"/>
        <rFont val="Arial"/>
        <family val="2"/>
      </rPr>
      <t>fuel uplifts</t>
    </r>
    <r>
      <rPr>
        <b/>
        <sz val="10"/>
        <rFont val="Arial"/>
        <family val="2"/>
      </rPr>
      <t>/</t>
    </r>
    <r>
      <rPr>
        <b/>
        <u/>
        <sz val="10"/>
        <rFont val="Arial"/>
        <family val="2"/>
      </rPr>
      <t>fuel contained in the tank</t>
    </r>
    <r>
      <rPr>
        <b/>
        <sz val="10"/>
        <rFont val="Arial"/>
        <family val="2"/>
      </rPr>
      <t xml:space="preserve"> and </t>
    </r>
    <r>
      <rPr>
        <b/>
        <u/>
        <sz val="10"/>
        <rFont val="Arial"/>
        <family val="2"/>
      </rPr>
      <t>density</t>
    </r>
    <r>
      <rPr>
        <b/>
        <sz val="10"/>
        <rFont val="Arial"/>
        <family val="2"/>
      </rPr>
      <t xml:space="preserve"> for </t>
    </r>
    <r>
      <rPr>
        <b/>
        <u/>
        <sz val="10"/>
        <rFont val="Arial"/>
        <family val="2"/>
      </rPr>
      <t>specific aerodromes</t>
    </r>
    <r>
      <rPr>
        <b/>
        <sz val="10"/>
        <rFont val="Arial"/>
        <family val="2"/>
      </rPr>
      <t>.</t>
    </r>
  </si>
  <si>
    <r>
      <t xml:space="preserve">If applicable, provide a list of </t>
    </r>
    <r>
      <rPr>
        <b/>
        <u/>
        <sz val="10"/>
        <color theme="0" tint="-0.34998626667073579"/>
        <rFont val="Arial"/>
        <family val="2"/>
      </rPr>
      <t>deviations</t>
    </r>
    <r>
      <rPr>
        <b/>
        <sz val="10"/>
        <color theme="0" tint="-0.34998626667073579"/>
        <rFont val="Arial"/>
        <family val="2"/>
      </rPr>
      <t xml:space="preserve"> from the general methodologies for determining </t>
    </r>
    <r>
      <rPr>
        <b/>
        <u/>
        <sz val="10"/>
        <color theme="0" tint="-0.34998626667073579"/>
        <rFont val="Arial"/>
        <family val="2"/>
      </rPr>
      <t>fuel uplifts</t>
    </r>
    <r>
      <rPr>
        <b/>
        <sz val="10"/>
        <color theme="0" tint="-0.34998626667073579"/>
        <rFont val="Arial"/>
        <family val="2"/>
      </rPr>
      <t>/</t>
    </r>
    <r>
      <rPr>
        <b/>
        <u/>
        <sz val="10"/>
        <color theme="0" tint="-0.34998626667073579"/>
        <rFont val="Arial"/>
        <family val="2"/>
      </rPr>
      <t>fuel contained in the tank</t>
    </r>
    <r>
      <rPr>
        <b/>
        <sz val="10"/>
        <color theme="0" tint="-0.34998626667073579"/>
        <rFont val="Arial"/>
        <family val="2"/>
      </rPr>
      <t xml:space="preserve"> and </t>
    </r>
    <r>
      <rPr>
        <b/>
        <u/>
        <sz val="10"/>
        <color theme="0" tint="-0.34998626667073579"/>
        <rFont val="Arial"/>
        <family val="2"/>
      </rPr>
      <t>density</t>
    </r>
    <r>
      <rPr>
        <b/>
        <sz val="10"/>
        <color theme="0" tint="-0.34998626667073579"/>
        <rFont val="Arial"/>
        <family val="2"/>
      </rPr>
      <t xml:space="preserve"> for </t>
    </r>
    <r>
      <rPr>
        <b/>
        <u/>
        <sz val="10"/>
        <color theme="0" tint="-0.34998626667073579"/>
        <rFont val="Arial"/>
        <family val="2"/>
      </rPr>
      <t>specific aerodromes</t>
    </r>
    <r>
      <rPr>
        <b/>
        <sz val="10"/>
        <color theme="0" tint="-0.34998626667073579"/>
        <rFont val="Arial"/>
        <family val="2"/>
      </rPr>
      <t>.</t>
    </r>
  </si>
  <si>
    <t>Where necessary due to special circumstances, such as fuel suppliers who cannot provide all of the required data for a certain methodology, a list of deviations from the general methodologies should be given for specific aerodromes.  For example, if a fuel supplier at a specific aerodrome cannot provide the actual density data, specify the alternative approach proposed. Please list aerodromes using their ICAO designator, separated by semicolons.</t>
  </si>
  <si>
    <t>Type of deviation</t>
  </si>
  <si>
    <t>Justification of special circumstances</t>
  </si>
  <si>
    <t>Aerodromes for which deviation applies</t>
  </si>
  <si>
    <t>Uncertainty Assessment</t>
  </si>
  <si>
    <r>
      <t xml:space="preserve">Where </t>
    </r>
    <r>
      <rPr>
        <b/>
        <u/>
        <sz val="10"/>
        <rFont val="Arial"/>
        <family val="2"/>
      </rPr>
      <t>on-board systems</t>
    </r>
    <r>
      <rPr>
        <b/>
        <sz val="10"/>
        <rFont val="Arial"/>
        <family val="2"/>
      </rPr>
      <t xml:space="preserve"> are used for </t>
    </r>
    <r>
      <rPr>
        <b/>
        <u/>
        <sz val="10"/>
        <rFont val="Arial"/>
        <family val="2"/>
      </rPr>
      <t>measuring fuel uplifts</t>
    </r>
    <r>
      <rPr>
        <b/>
        <sz val="10"/>
        <rFont val="Arial"/>
        <family val="2"/>
      </rPr>
      <t xml:space="preserve"> and the </t>
    </r>
    <r>
      <rPr>
        <b/>
        <u/>
        <sz val="10"/>
        <rFont val="Arial"/>
        <family val="2"/>
      </rPr>
      <t>quantity remaining in the tank,</t>
    </r>
    <r>
      <rPr>
        <b/>
        <sz val="10"/>
        <rFont val="Arial"/>
        <family val="2"/>
      </rPr>
      <t xml:space="preserve"> please provide uncertainty associated with the on-board measurement equipment.</t>
    </r>
  </si>
  <si>
    <r>
      <t xml:space="preserve">Where </t>
    </r>
    <r>
      <rPr>
        <b/>
        <u/>
        <sz val="10"/>
        <color theme="0" tint="-0.34998626667073579"/>
        <rFont val="Arial"/>
        <family val="2"/>
      </rPr>
      <t>on-board systems</t>
    </r>
    <r>
      <rPr>
        <b/>
        <sz val="10"/>
        <color theme="0" tint="-0.34998626667073579"/>
        <rFont val="Arial"/>
        <family val="2"/>
      </rPr>
      <t xml:space="preserve"> are used for </t>
    </r>
    <r>
      <rPr>
        <b/>
        <u/>
        <sz val="10"/>
        <color theme="0" tint="-0.34998626667073579"/>
        <rFont val="Arial"/>
        <family val="2"/>
      </rPr>
      <t>measuring fuel uplifts</t>
    </r>
    <r>
      <rPr>
        <b/>
        <sz val="10"/>
        <color theme="0" tint="-0.34998626667073579"/>
        <rFont val="Arial"/>
        <family val="2"/>
      </rPr>
      <t xml:space="preserve"> and the </t>
    </r>
    <r>
      <rPr>
        <b/>
        <u/>
        <sz val="10"/>
        <color theme="0" tint="-0.34998626667073579"/>
        <rFont val="Arial"/>
        <family val="2"/>
      </rPr>
      <t>quantity remaining in the tank,</t>
    </r>
    <r>
      <rPr>
        <b/>
        <sz val="10"/>
        <color theme="0" tint="-0.34998626667073579"/>
        <rFont val="Arial"/>
        <family val="2"/>
      </rPr>
      <t xml:space="preserve"> please provide uncertainty associated with the on-board measurement equipment.</t>
    </r>
  </si>
  <si>
    <t>Where fuel uplifts are determined solely based on the invoiced quantity of fuel or other appropriate information provided by the supplier, no further proof of uncertainty level is required other than an estimate of the uncertainty of the measurement of fuel remaining in the tank.
Where fuel uplifts are determined by on-board systems, uncertainty values should be taken from equipment manufacturer's specification. An estimate using the ranges in the drop-down list should be used only if more precise values are not available.</t>
  </si>
  <si>
    <t>Uncertainty of measurement of fuel remaining in the tank</t>
  </si>
  <si>
    <t>Are fuel uplifts determined solely by the invoiced quantity of fuel or other appropriate information provided by the supplier?</t>
  </si>
  <si>
    <t>If no:</t>
  </si>
  <si>
    <t>Measurement equipment
uncertainty
(+/-%)</t>
  </si>
  <si>
    <t>Location of evidence of routine checks of the fuel measurement systems</t>
  </si>
  <si>
    <t>Please identify the main sources of uncertainty and their associated levels of uncertainty for your fuel consumption measurements.</t>
  </si>
  <si>
    <t>You are not required to carry out a detailed uncertainty assessment, provided that you identify the sources of uncertainties and their associated levels of uncertainty. Uncertainties for other components than those listed in 7(a) may be based on conservative expert judgement.</t>
  </si>
  <si>
    <t>Source of uncertainty</t>
  </si>
  <si>
    <t>Level of uncertainty</t>
  </si>
  <si>
    <t>Comments on level of uncertainty</t>
  </si>
  <si>
    <t>Please provide details about the uncertainty threshold you intend to meet for each source stream (fuel type).</t>
  </si>
  <si>
    <r>
      <t>For each source stream (fuel type), specify the estimated annual CO</t>
    </r>
    <r>
      <rPr>
        <i/>
        <vertAlign val="subscript"/>
        <sz val="8"/>
        <color indexed="18"/>
        <rFont val="Arial"/>
        <family val="2"/>
      </rPr>
      <t>2</t>
    </r>
    <r>
      <rPr>
        <i/>
        <sz val="8"/>
        <color indexed="18"/>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</si>
  <si>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For each source stream (fuel type), specify the estimated annual CO</t>
    </r>
    <r>
      <rPr>
        <i/>
        <vertAlign val="subscript"/>
        <sz val="8"/>
        <color theme="0" tint="-0.34998626667073579"/>
        <rFont val="Arial"/>
        <family val="2"/>
      </rPr>
      <t>2</t>
    </r>
    <r>
      <rPr>
        <i/>
        <sz val="8"/>
        <color theme="0" tint="-0.34998626667073579"/>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</si>
  <si>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t>Please use the blank fields in column D to name any alternative and/or biofuels which you will use. State the estimated fossil CO2 emissions arising from each listed fuel type, in order to provide evidence for the correct tier choice. Please ensure that the total emissions are consistent with the answer given in section 4(f)</t>
  </si>
  <si>
    <t>Source stream (Fuel type)</t>
  </si>
  <si>
    <r>
      <t>Estimated annual fossil CO</t>
    </r>
    <r>
      <rPr>
        <b/>
        <vertAlign val="subscript"/>
        <sz val="8"/>
        <rFont val="Arial"/>
        <family val="2"/>
      </rPr>
      <t>2</t>
    </r>
    <r>
      <rPr>
        <b/>
        <sz val="8"/>
        <rFont val="Arial"/>
        <family val="2"/>
      </rPr>
      <t xml:space="preserve"> emissions from each fuel</t>
    </r>
  </si>
  <si>
    <r>
      <t>Estimated annual fossil CO</t>
    </r>
    <r>
      <rPr>
        <b/>
        <vertAlign val="subscript"/>
        <sz val="8"/>
        <color theme="0" tint="-0.34998626667073579"/>
        <rFont val="Arial"/>
        <family val="2"/>
      </rPr>
      <t>2</t>
    </r>
    <r>
      <rPr>
        <b/>
        <sz val="8"/>
        <color theme="0" tint="-0.34998626667073579"/>
        <rFont val="Arial"/>
        <family val="2"/>
      </rPr>
      <t xml:space="preserve"> emissions from each fuel</t>
    </r>
  </si>
  <si>
    <r>
      <t>% of total estimated CO</t>
    </r>
    <r>
      <rPr>
        <b/>
        <vertAlign val="subscript"/>
        <sz val="8"/>
        <rFont val="Arial"/>
        <family val="2"/>
      </rPr>
      <t>2</t>
    </r>
    <r>
      <rPr>
        <b/>
        <sz val="8"/>
        <rFont val="Arial"/>
        <family val="2"/>
      </rPr>
      <t xml:space="preserve"> emissions </t>
    </r>
  </si>
  <si>
    <r>
      <t>% of total estimated CO</t>
    </r>
    <r>
      <rPr>
        <b/>
        <vertAlign val="subscript"/>
        <sz val="8"/>
        <color theme="0" tint="-0.34998626667073579"/>
        <rFont val="Arial"/>
        <family val="2"/>
      </rPr>
      <t>2</t>
    </r>
    <r>
      <rPr>
        <b/>
        <sz val="8"/>
        <color theme="0" tint="-0.34998626667073579"/>
        <rFont val="Arial"/>
        <family val="2"/>
      </rPr>
      <t xml:space="preserve"> emissions </t>
    </r>
  </si>
  <si>
    <t>Source stream classification</t>
  </si>
  <si>
    <t>Fuel consumption uncertainty</t>
  </si>
  <si>
    <t>Tier number</t>
  </si>
  <si>
    <t>Std Fuels</t>
  </si>
  <si>
    <t>Alternatives</t>
  </si>
  <si>
    <t>Biofuels</t>
  </si>
  <si>
    <t>Total for all fuel types:</t>
  </si>
  <si>
    <t>Estimate given under section 4(f):</t>
  </si>
  <si>
    <t>Difference:</t>
  </si>
  <si>
    <t>Please provide evidence that each source stream meets the overall uncertainty threshold as stipulated in table 7(c) above.</t>
  </si>
  <si>
    <t>Evidence may be in the form of manufacturer or fuel supplier specifications.</t>
  </si>
  <si>
    <t>Please reference the file/document attached to your monitoring plan in the box below.</t>
  </si>
  <si>
    <t>Complete the following table with information about the procedure used to ensure that the total uncertainty of fuel measurements will comply with the requirements of the selected tier.</t>
  </si>
  <si>
    <t>The procedure must demonstrate that the uncertainty of fuel measurements will comply with the requirements of the selected tier, referring to calibration certificates of measurement systems (if applicable), national laws, clauses in customer contracts or fuel suppliers' accuracy standards.  If components of the measurement system cannot be calibrated, state in the procedure your alternative control activities.</t>
  </si>
  <si>
    <t>Complete the following table with information about the procedure used to ensure regular cross-checks between uplift quantity as provided by invoices and uplift quantity indicated by on-board measurement.</t>
  </si>
  <si>
    <t>Where deviations are observed, corrective actions must be taken in accordance with Article 63 of the MRR.</t>
  </si>
  <si>
    <t>Please confirm that you will use the following standard emission factors for commercial standard aviation fuels</t>
  </si>
  <si>
    <t>Type of aviation fuel</t>
  </si>
  <si>
    <t>Default IPCC value
(tonnes CO2 /tonne fuel)</t>
  </si>
  <si>
    <t>Confirm</t>
  </si>
  <si>
    <t>If applicable, please provide a description of the procedure used to determine the emission factors, net calorific values and biomass content of alternative fuels (source streams).</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</si>
  <si>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t>
  </si>
  <si>
    <r>
      <t xml:space="preserve">If applicable, please describe the approaches used for </t>
    </r>
    <r>
      <rPr>
        <b/>
        <u/>
        <sz val="10"/>
        <rFont val="Arial"/>
        <family val="2"/>
      </rPr>
      <t>sampling</t>
    </r>
    <r>
      <rPr>
        <u/>
        <sz val="10"/>
        <rFont val="Arial"/>
        <family val="2"/>
      </rPr>
      <t xml:space="preserve"> </t>
    </r>
    <r>
      <rPr>
        <b/>
        <sz val="10"/>
        <rFont val="Arial"/>
        <family val="2"/>
      </rPr>
      <t>batches of alternative fuels.</t>
    </r>
  </si>
  <si>
    <r>
      <t xml:space="preserve">If applicable, please describe the approaches used for </t>
    </r>
    <r>
      <rPr>
        <b/>
        <u/>
        <sz val="10"/>
        <color theme="0" tint="-0.34998626667073579"/>
        <rFont val="Arial"/>
        <family val="2"/>
      </rPr>
      <t>sampling</t>
    </r>
    <r>
      <rPr>
        <u/>
        <sz val="10"/>
        <color theme="0" tint="-0.34998626667073579"/>
        <rFont val="Arial"/>
        <family val="2"/>
      </rPr>
      <t xml:space="preserve"> </t>
    </r>
    <r>
      <rPr>
        <b/>
        <sz val="10"/>
        <color theme="0" tint="-0.34998626667073579"/>
        <rFont val="Arial"/>
        <family val="2"/>
      </rPr>
      <t>batches of alternative fuels.</t>
    </r>
  </si>
  <si>
    <t>For each source stream, succinctly describe the approach to be used for sampling fuels and materials for the determination of emission factor, net calorific value and biomass content  for each fuel or material batch</t>
  </si>
  <si>
    <t>Source stream (fuel type)</t>
  </si>
  <si>
    <t>Parameter</t>
  </si>
  <si>
    <t>Description</t>
  </si>
  <si>
    <t>conform with Standard (EN, ISO,...)</t>
  </si>
  <si>
    <r>
      <t xml:space="preserve">If applicable, please describe the approaches used to </t>
    </r>
    <r>
      <rPr>
        <b/>
        <u/>
        <sz val="10"/>
        <rFont val="Arial"/>
        <family val="2"/>
      </rPr>
      <t>analyse</t>
    </r>
    <r>
      <rPr>
        <b/>
        <sz val="10"/>
        <rFont val="Arial"/>
        <family val="2"/>
      </rPr>
      <t xml:space="preserve"> alternative fuels (including biofuels) for the determination of net calorific value, emission factors and biogenic content (as relevant).</t>
    </r>
  </si>
  <si>
    <r>
      <t xml:space="preserve">If applicable, please describe the approaches used to </t>
    </r>
    <r>
      <rPr>
        <b/>
        <u/>
        <sz val="10"/>
        <color theme="0" tint="-0.34998626667073579"/>
        <rFont val="Arial"/>
        <family val="2"/>
      </rPr>
      <t>analyse</t>
    </r>
    <r>
      <rPr>
        <b/>
        <sz val="10"/>
        <color theme="0" tint="-0.34998626667073579"/>
        <rFont val="Arial"/>
        <family val="2"/>
      </rPr>
      <t xml:space="preserve"> alternative fuels (including biofuels) for the determination of net calorific value, emission factors and biogenic content (as relevant).</t>
    </r>
  </si>
  <si>
    <t>For each source stream, succinctly describe the approach to be used for analysing fuels and materials for the determination of emission factor, net calorific value and biomass content for each fuel or material batch (if applicable to the selected tier).</t>
  </si>
  <si>
    <t>conform with Standard (EN, ISO...)</t>
  </si>
  <si>
    <t>If applicable, please provide a list of laboratories used to undertake the analysis and confirm whether the laboratory is accredited for this analysis according to EN ISO/IEC 17025, or otherwise reference the evidence to be submitted to demonstrate that the laboratory is technically competent in accordance with Article 34.</t>
  </si>
  <si>
    <t>Name of laboratory</t>
  </si>
  <si>
    <t>Analytical procedures</t>
  </si>
  <si>
    <t>Is laboratory EN ISO/IEC17025 accredited for this analysis?</t>
  </si>
  <si>
    <t>If no, reference evidence to be submitted</t>
  </si>
  <si>
    <r>
      <t>SIMPLIFIED CALCULATION OF CO</t>
    </r>
    <r>
      <rPr>
        <b/>
        <vertAlign val="subscript"/>
        <sz val="14"/>
        <rFont val="Arial"/>
        <family val="2"/>
      </rPr>
      <t>2</t>
    </r>
    <r>
      <rPr>
        <b/>
        <sz val="14"/>
        <rFont val="Arial"/>
        <family val="2"/>
      </rPr>
      <t xml:space="preserve"> EMISSIONS</t>
    </r>
  </si>
  <si>
    <r>
      <t>SIMPLIFIED CALCULATION OF CO</t>
    </r>
    <r>
      <rPr>
        <b/>
        <vertAlign val="subscript"/>
        <sz val="14"/>
        <color theme="0" tint="-0.34998626667073579"/>
        <rFont val="Arial"/>
        <family val="2"/>
      </rPr>
      <t>2</t>
    </r>
    <r>
      <rPr>
        <b/>
        <sz val="14"/>
        <color theme="0" tint="-0.34998626667073579"/>
        <rFont val="Arial"/>
        <family val="2"/>
      </rPr>
      <t xml:space="preserve"> EMISSIONS</t>
    </r>
  </si>
  <si>
    <t>Simplified calculation</t>
  </si>
  <si>
    <t>You may apply the simplified procedure for the calculation of activity data described in Article 54 of the MRR if you are operating either:
- fewer than 243 flights per period of three consecutive four-month periods; or 
- flights with total annual emissions lower than 25,000 tonnes per year</t>
  </si>
  <si>
    <t>Entries here are only required / allowed if you have entered in section 5(b) that you intend to use simplified procedures to estimate fuel consumption.</t>
  </si>
  <si>
    <t>Please specify the name or reference of the Commission approved tool used to estimate fuel consumption.</t>
  </si>
  <si>
    <t>Please confirm that the following standard emission factors for commercial standard aviation fuels will be used to calculate emissions</t>
  </si>
  <si>
    <r>
      <t>Default IPCC value (tCO</t>
    </r>
    <r>
      <rPr>
        <b/>
        <vertAlign val="subscript"/>
        <sz val="8"/>
        <rFont val="Arial"/>
        <family val="2"/>
      </rPr>
      <t xml:space="preserve">2 </t>
    </r>
    <r>
      <rPr>
        <b/>
        <sz val="8"/>
        <rFont val="Arial"/>
        <family val="2"/>
      </rPr>
      <t>/ t)</t>
    </r>
  </si>
  <si>
    <r>
      <t>Default IPCC value (tCO</t>
    </r>
    <r>
      <rPr>
        <b/>
        <vertAlign val="subscript"/>
        <sz val="8"/>
        <color theme="0" tint="-0.34998626667073579"/>
        <rFont val="Arial"/>
        <family val="2"/>
      </rPr>
      <t xml:space="preserve">2 </t>
    </r>
    <r>
      <rPr>
        <b/>
        <sz val="8"/>
        <color theme="0" tint="-0.34998626667073579"/>
        <rFont val="Arial"/>
        <family val="2"/>
      </rPr>
      <t>/ t)</t>
    </r>
  </si>
  <si>
    <t>If using an alternative fuel (including biofuel), please outline the proposed emission factor and net calorific value to be used and justify the methodology used.</t>
  </si>
  <si>
    <t>&lt;&lt;&lt; Click here to proceed to section 11 "Management" &gt;&gt;&gt;</t>
  </si>
  <si>
    <t>Where data relevant for the determination of an aircraft operator's emissions is missing, the aircraft operator shall use surrogate data calculated in accordance with an alternative method approved by the competent authority. The reasons why the data gap methodology has been applied and the quantity of emissions for which such approach is used shall be specified in the annual emissions report.</t>
  </si>
  <si>
    <t>Please provide a brief description of the method to be used to estimate fuel consumption when data is missing according to the conditions as outlined above.</t>
  </si>
  <si>
    <t>Where surrogate data cannot be determined by the method described under 10(a), the emissions may be estimated from fuel consumption determined using a tool as specified in Article 54(2) of the MRR.  Please specify the Commission approved tool used in this instance:</t>
  </si>
  <si>
    <t>Please provide a short description of the methodology to treat data gaps regarding other parameters than fuel consumption, if applicable.</t>
  </si>
  <si>
    <t>DESCRIPTION OF PROCEDURES FOR DATA MANAGEMENT AND CONTROL ACTIVITIES</t>
  </si>
  <si>
    <t>Please identify the responsibilities for monitoring and reporting (Article 61 of the MRR)</t>
  </si>
  <si>
    <t>Please identify the relevant job titles/posts and provide a succinct summary of their role relevant to monitoring and reporting. Only those with overall responsibility and other key roles should be listed below (i.e. do not include delegated responsibilities)</t>
  </si>
  <si>
    <t>These could be outlined in a tree diagram or organisational chart attached to your submission</t>
  </si>
  <si>
    <t>Job title/post</t>
  </si>
  <si>
    <t>Responsibilities</t>
  </si>
  <si>
    <t>Please provide details about the procedure for managing the assignment of responsibilities and competences of personnel responsible for monitoring and reporting, in accordance with Article 58(3)(c) of the MRR.</t>
  </si>
  <si>
    <t>This procedure should identify how the monitoring and reporting responsibilities for the roles identified above are assigned, how training and reviews are undertaken and how duties are segregated such that all relevant data is confirmed by a person not involved with the recording and collection of the data.</t>
  </si>
  <si>
    <t>Please provide details about the procedure for regular evaluation of the monitoring plan's appropriateness, covering in particular any potential measures for the improvement of the monitoring methodology.</t>
  </si>
  <si>
    <t>This procedure must identify the process of regularly checking to ensure that the monitoring plan reflects the nature of the operation and that it conforms with the Monitoring and Reporting Regulation.  The brief description should identify how regularly the plan is evaluated, dependent on the nature of the operation and how changes identified from internal reviews and verification visits are communicated to the Competent Authority.</t>
  </si>
  <si>
    <t>Please provide details about the procedures of the data flow activities that ensure data reported under EU ETS does not contain misstatements and is in conformance with the approved plan and Regulation.</t>
  </si>
  <si>
    <t>Where a number of procedures are used, please provide details of an overarching procedure which covers the main steps of data flow activities along with a diagram showing how the data management procedures link together (please reference this diagram below and include when submitting your monitoring plan).  Alternatively please provide details of additional relevant procedures on a separate sheet.</t>
  </si>
  <si>
    <t>Under "Description of the relevant processing steps", please identify each step in the data flow from primary data to annual emissions which reflect the sequence and interaction between data flow activities and include the formulas and data used to determine emissions from the primary data.  Include details of any relevant electronic data processing and storage systems and other inputs (including manual inputs) and confirm how outputs of data flow activities are recorded.</t>
  </si>
  <si>
    <r>
      <t>Diagram reference</t>
    </r>
    <r>
      <rPr>
        <sz val="8"/>
        <rFont val="Arial"/>
        <family val="2"/>
      </rPr>
      <t xml:space="preserve"> (where applicable)</t>
    </r>
  </si>
  <si>
    <r>
      <t>Diagram reference</t>
    </r>
    <r>
      <rPr>
        <sz val="8"/>
        <color theme="0" tint="-0.34998626667073579"/>
        <rFont val="Arial"/>
        <family val="2"/>
      </rPr>
      <t xml:space="preserve"> (where applicable)</t>
    </r>
  </si>
  <si>
    <r>
      <t>Post</t>
    </r>
    <r>
      <rPr>
        <sz val="8"/>
        <rFont val="Arial"/>
        <family val="2"/>
      </rPr>
      <t xml:space="preserve"> or </t>
    </r>
    <r>
      <rPr>
        <u/>
        <sz val="8"/>
        <rFont val="Arial"/>
        <family val="2"/>
      </rPr>
      <t>department</t>
    </r>
    <r>
      <rPr>
        <sz val="8"/>
        <rFont val="Arial"/>
        <family val="2"/>
      </rPr>
      <t xml:space="preserve"> responsible for the procedure and for any data generated</t>
    </r>
  </si>
  <si>
    <r>
      <t>Post</t>
    </r>
    <r>
      <rPr>
        <sz val="8"/>
        <color theme="0" tint="-0.34998626667073579"/>
        <rFont val="Arial"/>
        <family val="2"/>
      </rPr>
      <t xml:space="preserve"> or </t>
    </r>
    <r>
      <rPr>
        <u/>
        <sz val="8"/>
        <color theme="0" tint="-0.34998626667073579"/>
        <rFont val="Arial"/>
        <family val="2"/>
      </rPr>
      <t>department</t>
    </r>
    <r>
      <rPr>
        <sz val="8"/>
        <color theme="0" tint="-0.34998626667073579"/>
        <rFont val="Arial"/>
        <family val="2"/>
      </rPr>
      <t xml:space="preserve"> responsible for the procedure and for any data generated</t>
    </r>
  </si>
  <si>
    <r>
      <t>Name of IT system</t>
    </r>
    <r>
      <rPr>
        <sz val="8"/>
        <rFont val="Arial"/>
        <family val="2"/>
      </rPr>
      <t xml:space="preserve"> used (where applicable).</t>
    </r>
  </si>
  <si>
    <r>
      <t>Name of IT system</t>
    </r>
    <r>
      <rPr>
        <sz val="8"/>
        <color theme="0" tint="-0.34998626667073579"/>
        <rFont val="Arial"/>
        <family val="2"/>
      </rPr>
      <t xml:space="preserve"> used (where applicable).</t>
    </r>
  </si>
  <si>
    <r>
      <t>List of EN</t>
    </r>
    <r>
      <rPr>
        <sz val="8"/>
        <rFont val="Arial"/>
        <family val="2"/>
      </rPr>
      <t xml:space="preserve"> or other </t>
    </r>
    <r>
      <rPr>
        <u/>
        <sz val="8"/>
        <rFont val="Arial"/>
        <family val="2"/>
      </rPr>
      <t>standards</t>
    </r>
    <r>
      <rPr>
        <sz val="8"/>
        <rFont val="Arial"/>
        <family val="2"/>
      </rPr>
      <t xml:space="preserve"> applied (where relevant)</t>
    </r>
  </si>
  <si>
    <r>
      <t>List of EN</t>
    </r>
    <r>
      <rPr>
        <sz val="8"/>
        <color theme="0" tint="-0.34998626667073579"/>
        <rFont val="Arial"/>
        <family val="2"/>
      </rPr>
      <t xml:space="preserve"> or other </t>
    </r>
    <r>
      <rPr>
        <u/>
        <sz val="8"/>
        <color theme="0" tint="-0.34998626667073579"/>
        <rFont val="Arial"/>
        <family val="2"/>
      </rPr>
      <t>standards</t>
    </r>
    <r>
      <rPr>
        <sz val="8"/>
        <color theme="0" tint="-0.34998626667073579"/>
        <rFont val="Arial"/>
        <family val="2"/>
      </rPr>
      <t xml:space="preserve"> applied (where relevant)</t>
    </r>
  </si>
  <si>
    <r>
      <t xml:space="preserve">List of </t>
    </r>
    <r>
      <rPr>
        <u/>
        <sz val="8"/>
        <rFont val="Arial"/>
        <family val="2"/>
      </rPr>
      <t>primary data sources</t>
    </r>
  </si>
  <si>
    <r>
      <t xml:space="preserve">List of </t>
    </r>
    <r>
      <rPr>
        <u/>
        <sz val="8"/>
        <color theme="0" tint="-0.34998626667073579"/>
        <rFont val="Arial"/>
        <family val="2"/>
      </rPr>
      <t>primary data sources</t>
    </r>
  </si>
  <si>
    <r>
      <t>Description</t>
    </r>
    <r>
      <rPr>
        <sz val="8"/>
        <rFont val="Arial"/>
        <family val="2"/>
      </rPr>
      <t xml:space="preserve"> of the relevant </t>
    </r>
    <r>
      <rPr>
        <u/>
        <sz val="8"/>
        <rFont val="Arial"/>
        <family val="2"/>
      </rPr>
      <t>processing steps</t>
    </r>
    <r>
      <rPr>
        <sz val="8"/>
        <rFont val="Arial"/>
        <family val="2"/>
      </rPr>
      <t xml:space="preserve"> for each specific data flow activity</t>
    </r>
    <r>
      <rPr>
        <i/>
        <sz val="8"/>
        <rFont val="Arial"/>
        <family val="2"/>
      </rPr>
      <t xml:space="preserve"> </t>
    </r>
  </si>
  <si>
    <r>
      <t>Description</t>
    </r>
    <r>
      <rPr>
        <sz val="8"/>
        <color theme="0" tint="-0.34998626667073579"/>
        <rFont val="Arial"/>
        <family val="2"/>
      </rPr>
      <t xml:space="preserve"> of the relevant </t>
    </r>
    <r>
      <rPr>
        <u/>
        <sz val="8"/>
        <color theme="0" tint="-0.34998626667073579"/>
        <rFont val="Arial"/>
        <family val="2"/>
      </rPr>
      <t>processing steps</t>
    </r>
    <r>
      <rPr>
        <sz val="8"/>
        <color theme="0" tint="-0.34998626667073579"/>
        <rFont val="Arial"/>
        <family val="2"/>
      </rPr>
      <t xml:space="preserve"> for each specific data flow activity</t>
    </r>
    <r>
      <rPr>
        <i/>
        <sz val="8"/>
        <color theme="0" tint="-0.34998626667073579"/>
        <rFont val="Arial"/>
        <family val="2"/>
      </rPr>
      <t xml:space="preserve"> </t>
    </r>
  </si>
  <si>
    <t>Please attach a representation of the data flow for the calculation of emissions, including responsibility for retrieving and storing each type of data.  If necessary, please refer to additional information, submitted with your completed plan.</t>
  </si>
  <si>
    <t>Control activities</t>
  </si>
  <si>
    <t>Please provide details about the procedures used to assess inherent risks and control risks.</t>
  </si>
  <si>
    <t>The brief description should identify how the assessments of inherent risks ("errors") and control risks ("slips") are undertaken when establishing an effective control system.</t>
  </si>
  <si>
    <t>Please provide details about the procedures used to ensure quality assurance of measuring equipment and information technology used for data flow activities.</t>
  </si>
  <si>
    <t>The brief description should identify how all relevant measurement equipment is calibrated or checked at regular intervals, if applicable, and how information technology is tested and controlled, including access control, back-up, recovery and security.</t>
  </si>
  <si>
    <t>Please provide details about the procedures used to ensure regular internal reviews and validation of data.</t>
  </si>
  <si>
    <t>The brief description should identify that the review and validation process includes a check on whether data is complete, comparisons with data over previous years, comparison of fuel consumption reported with purchase records and factors obtained for fuel suppliers with international reference factors, if applicable, and criteria for rejecting data.</t>
  </si>
  <si>
    <t>Please provide details about the procedures used to handle corrections and corrective actions.</t>
  </si>
  <si>
    <t>The brief description should outline what appropriate actions are undertaken if data flow activities and control activities are found not to function effectively. The procedure should outline how the validity of the outputs is assessed, the process of determining the cause of the error and of correcting it</t>
  </si>
  <si>
    <t>If applicable, please provide details about the procedures used to control outsourced activities.</t>
  </si>
  <si>
    <t>The brief description should identify how data flow activities and control activities of outsourced processes are checked and what checks are undertaken on the quality of the resulting data.</t>
  </si>
  <si>
    <t>Please provide details about the procedures used to manage record keeping and documentation.</t>
  </si>
  <si>
    <t>The brief description should identify the process of document retention, specifically in relation to the data and information stipulated in Annex IX of the MRR and to how the data is stored such that information is made readily available upon request of the competent authority or verifier.</t>
  </si>
  <si>
    <r>
      <t xml:space="preserve">Please provide the results of a risk assessment that demonstrates that the control activities and procedures are commensurate with the risks identified.  </t>
    </r>
    <r>
      <rPr>
        <b/>
        <u/>
        <sz val="10"/>
        <rFont val="Arial"/>
        <family val="2"/>
      </rPr>
      <t>(Note: Only applicable to operators who are not small emitters or small emitters who do not intend to use the small emitters tool)</t>
    </r>
  </si>
  <si>
    <r>
      <t xml:space="preserve">Please provide the results of a risk assessment that demonstrates that the control activities and procedures are commensurate with the risks identified.  </t>
    </r>
    <r>
      <rPr>
        <b/>
        <u/>
        <sz val="10"/>
        <color theme="0" tint="-0.34998626667073579"/>
        <rFont val="Arial"/>
        <family val="2"/>
      </rPr>
      <t>(Note: Only applicable to operators who are not small emitters or small emitters who do not intend to use the small emitters tool)</t>
    </r>
  </si>
  <si>
    <r>
      <t>Does your organisation have a documented environmental</t>
    </r>
    <r>
      <rPr>
        <b/>
        <sz val="10"/>
        <color indexed="10"/>
        <rFont val="Arial"/>
        <family val="2"/>
      </rPr>
      <t xml:space="preserve"> </t>
    </r>
    <r>
      <rPr>
        <b/>
        <sz val="10"/>
        <rFont val="Arial"/>
        <family val="2"/>
      </rPr>
      <t>management system?  Please choose the most relevant response.</t>
    </r>
  </si>
  <si>
    <t>Does your organisation have a documented environmental management system?  Please choose the most relevant response.</t>
  </si>
  <si>
    <t>If the Environmental Management System is certified by an accredited organisation and the system incorporates procedures relevant to EU ETS monitoring and reporting, please specify to which standard e.g. ISO14001, EMAS, etc.</t>
  </si>
  <si>
    <t>Please list any abbreviations, acronyms or definitions that you have used in completing this monitoring plan.</t>
  </si>
  <si>
    <t>Abbreviation</t>
  </si>
  <si>
    <t>Definition</t>
  </si>
  <si>
    <t>If you are providing any other information that you wish us to take into account in considering your plan, tell us here. Please provide this information in an electronic format wherever possible. You can provide information as Microsoft Word, Excel, or Adobe Acrobat formats.</t>
  </si>
  <si>
    <t>You are advised to avoid supplying non-relevant information as it can slow down the approval. Additional documentation provided should be clearly referenced, and the file name / reference number provided below. If needed, check with your competent authority if other file formats than the ones mentioned above are acceptable.</t>
  </si>
  <si>
    <t>Please provide file name(s) (if in an electronic format) or document reference number(s) (if hard copy) below:</t>
  </si>
  <si>
    <t>File name/Reference</t>
  </si>
  <si>
    <t>Document description</t>
  </si>
  <si>
    <t>Comments</t>
  </si>
  <si>
    <t>Space for further Comments:</t>
  </si>
  <si>
    <t>Please select</t>
  </si>
  <si>
    <t>Austria</t>
  </si>
  <si>
    <t>Belgium</t>
  </si>
  <si>
    <t>Bulgaria</t>
  </si>
  <si>
    <t>Croatia</t>
  </si>
  <si>
    <t>Cyprus</t>
  </si>
  <si>
    <t>Czechia</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</si>
  <si>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</si>
  <si>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</si>
  <si>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</si>
  <si>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</si>
  <si>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</si>
  <si>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</si>
  <si>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</si>
  <si>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</si>
  <si>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</si>
  <si>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</si>
  <si>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</si>
  <si>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</si>
  <si>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</si>
  <si>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</si>
  <si>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</si>
  <si>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</si>
  <si>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</si>
  <si>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</si>
  <si>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</si>
  <si>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</si>
  <si>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</si>
  <si>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</si>
  <si>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</si>
  <si>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</si>
  <si>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United Kingdom</t>
  </si>
  <si>
    <t>Afghanistan</t>
  </si>
  <si>
    <t>Albania</t>
  </si>
  <si>
    <t>Algeria</t>
  </si>
  <si>
    <t>American Samoa</t>
  </si>
  <si>
    <t>Andorra</t>
  </si>
  <si>
    <t>Angola</t>
  </si>
  <si>
    <t>Anguilla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</si>
  <si>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</si>
  <si>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</si>
  <si>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</si>
  <si>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</si>
  <si>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</si>
  <si>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</si>
  <si>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</si>
  <si>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</si>
  <si>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</si>
  <si>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</si>
  <si>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</si>
  <si>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</si>
  <si>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</si>
  <si>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</si>
  <si>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</si>
  <si>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</si>
  <si>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Bosnia and Herzegovina</t>
  </si>
  <si>
    <t>Botswana</t>
  </si>
  <si>
    <t>Brazil</t>
  </si>
  <si>
    <t>Virgin Islands, British</t>
  </si>
  <si>
    <t>Brunei Darussalam</t>
  </si>
  <si>
    <t>Burkina Faso</t>
  </si>
  <si>
    <t>Burundi</t>
  </si>
  <si>
    <t>Cambodia</t>
  </si>
  <si>
    <t>Cameroon</t>
  </si>
  <si>
    <t>Canada</t>
  </si>
  <si>
    <t>Cape Verde</t>
  </si>
  <si>
    <t>Cayman Islands</t>
  </si>
  <si>
    <t>Central African Republic</t>
  </si>
  <si>
    <t>Chad</t>
  </si>
  <si>
    <t>Channel Islands</t>
  </si>
  <si>
    <t>Chile</t>
  </si>
  <si>
    <t>China</t>
  </si>
  <si>
    <t>Hong Kong SAR</t>
  </si>
  <si>
    <t>Macao SAR</t>
  </si>
  <si>
    <t>Colombia</t>
  </si>
  <si>
    <t>Comoros</t>
  </si>
  <si>
    <t>Congo</t>
  </si>
  <si>
    <t>Cook Islands</t>
  </si>
  <si>
    <t>Costa Rica</t>
  </si>
  <si>
    <t>Côte d'Ivoire</t>
  </si>
  <si>
    <t>Cuba</t>
  </si>
  <si>
    <t>Korea, Democratic People's Republic of</t>
  </si>
  <si>
    <t>Congo, The Democratic Republic of the</t>
  </si>
  <si>
    <t>Djibouti</t>
  </si>
  <si>
    <t>Dominica</t>
  </si>
  <si>
    <t>Dominican Republic</t>
  </si>
  <si>
    <t>Ecuador</t>
  </si>
  <si>
    <t>Egypt</t>
  </si>
  <si>
    <t>El Salvador</t>
  </si>
  <si>
    <t>Equatorial Guinea</t>
  </si>
  <si>
    <t>Eritrea</t>
  </si>
  <si>
    <t>Ethiopia</t>
  </si>
  <si>
    <t>Faroe Islands</t>
  </si>
  <si>
    <t>Falkland Islands (Malvinas)</t>
  </si>
  <si>
    <t>Fiji</t>
  </si>
  <si>
    <t>French Guiana</t>
  </si>
  <si>
    <t>French Polynesia</t>
  </si>
  <si>
    <t>Gabon</t>
  </si>
  <si>
    <t>Gambia</t>
  </si>
  <si>
    <t>Georgia</t>
  </si>
  <si>
    <t>Ghana</t>
  </si>
  <si>
    <t>Gibraltar</t>
  </si>
  <si>
    <t>Greenland</t>
  </si>
  <si>
    <t>Grenada</t>
  </si>
  <si>
    <t>Guadeloupe</t>
  </si>
  <si>
    <t>Guam</t>
  </si>
  <si>
    <t>Guatemala</t>
  </si>
  <si>
    <t>Guernsey</t>
  </si>
  <si>
    <t>Guinea</t>
  </si>
  <si>
    <t>Guinea-Bissau</t>
  </si>
  <si>
    <t>Guyana</t>
  </si>
  <si>
    <t>Haiti</t>
  </si>
  <si>
    <t>Holy See (Vatican City State)</t>
  </si>
  <si>
    <t>Honduras</t>
  </si>
  <si>
    <t>India</t>
  </si>
  <si>
    <t>Indonesia</t>
  </si>
  <si>
    <t>Iran, Islamic Republic of</t>
  </si>
  <si>
    <t>Iraq</t>
  </si>
  <si>
    <t>Isle of Man</t>
  </si>
  <si>
    <t>Israel</t>
  </si>
  <si>
    <t>Jamaica</t>
  </si>
  <si>
    <t>Japan</t>
  </si>
  <si>
    <t>Jersey</t>
  </si>
  <si>
    <t>Jordan</t>
  </si>
  <si>
    <t>Kazakhstan</t>
  </si>
  <si>
    <t>Kenya</t>
  </si>
  <si>
    <t>Kiribati</t>
  </si>
  <si>
    <t>Kuwait</t>
  </si>
  <si>
    <t>Kyrgyzstan</t>
  </si>
  <si>
    <t>Lao People's Democratic Republic</t>
  </si>
  <si>
    <t>Lebanon</t>
  </si>
  <si>
    <t>Lesotho</t>
  </si>
  <si>
    <t>Liberia</t>
  </si>
  <si>
    <t>Libya</t>
  </si>
  <si>
    <t>Madagascar</t>
  </si>
  <si>
    <t>Malawi</t>
  </si>
  <si>
    <t>Malaysia</t>
  </si>
  <si>
    <t>Maldives</t>
  </si>
  <si>
    <t>Mali</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</si>
  <si>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</si>
  <si>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</si>
  <si>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</si>
  <si>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</si>
  <si>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</si>
  <si>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</si>
  <si>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</si>
  <si>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</si>
  <si>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</si>
  <si>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</si>
  <si>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</si>
  <si>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</si>
  <si>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</si>
  <si>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</si>
  <si>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</si>
  <si>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</si>
  <si>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</si>
  <si>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 Antilles</t>
  </si>
  <si>
    <t>New Caledonia</t>
  </si>
  <si>
    <t>New Zealand</t>
  </si>
  <si>
    <t>Nicaragua</t>
  </si>
  <si>
    <t>Niger</t>
  </si>
  <si>
    <t>Nigeria</t>
  </si>
  <si>
    <t>Niue</t>
  </si>
  <si>
    <t>Norfolk Island</t>
  </si>
  <si>
    <t>Northern Mariana Islands</t>
  </si>
  <si>
    <t>Palestinian Territory, Occupied</t>
  </si>
  <si>
    <t>Oman</t>
  </si>
  <si>
    <t>Pakistan</t>
  </si>
  <si>
    <t>Palau</t>
  </si>
  <si>
    <t>Panama</t>
  </si>
  <si>
    <t>Papua New Guinea</t>
  </si>
  <si>
    <t>Paraguay</t>
  </si>
  <si>
    <t>Peru</t>
  </si>
  <si>
    <t>Philippines</t>
  </si>
  <si>
    <t>Pitcairn</t>
  </si>
  <si>
    <t>Puerto Rico</t>
  </si>
  <si>
    <t>Qatar</t>
  </si>
  <si>
    <t>Korea, Republic of</t>
  </si>
  <si>
    <t>Moldova, Republic of</t>
  </si>
  <si>
    <t>Réunion</t>
  </si>
  <si>
    <t>Russian Federation</t>
  </si>
  <si>
    <t>Rwanda</t>
  </si>
  <si>
    <t>Saint Barthélemy</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</si>
  <si>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</si>
  <si>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</si>
  <si>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</si>
  <si>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</si>
  <si>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</si>
  <si>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</si>
  <si>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</si>
  <si>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</si>
  <si>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</si>
  <si>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</si>
  <si>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</si>
  <si>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</si>
  <si>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</si>
  <si>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</si>
  <si>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</si>
  <si>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</si>
  <si>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</si>
  <si>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</si>
  <si>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</si>
  <si>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</si>
  <si>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</si>
  <si>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Svalbard and Jan Mayen Islands</t>
  </si>
  <si>
    <t>Swaziland</t>
  </si>
  <si>
    <t>Switzerland</t>
  </si>
  <si>
    <t>Syrian Arab Republic</t>
  </si>
  <si>
    <t>Tajikistan</t>
  </si>
  <si>
    <t>Thailand</t>
  </si>
  <si>
    <t>Macedonia, The Former Yugoslav Republic of</t>
  </si>
  <si>
    <t>Timor-Leste</t>
  </si>
  <si>
    <t>Togo</t>
  </si>
  <si>
    <t>Tokelau</t>
  </si>
  <si>
    <t>Tonga</t>
  </si>
  <si>
    <t>Trinidad and Tobago</t>
  </si>
  <si>
    <t>Tunisia</t>
  </si>
  <si>
    <t>Turkey</t>
  </si>
  <si>
    <t>Turkmenistan</t>
  </si>
  <si>
    <t>Turks and Caicos Islands</t>
  </si>
  <si>
    <t>Tuvalu</t>
  </si>
  <si>
    <t>Uganda</t>
  </si>
  <si>
    <t>Ukraine</t>
  </si>
  <si>
    <t>United Arab Emirates</t>
  </si>
  <si>
    <t>Tanzania, United Republic of</t>
  </si>
  <si>
    <t>United States</t>
  </si>
  <si>
    <t>Virgin Islands, U.S.</t>
  </si>
  <si>
    <t>Uruguay</t>
  </si>
  <si>
    <t>Uzbekistan</t>
  </si>
  <si>
    <t>Vanuatu</t>
  </si>
  <si>
    <t>Venezuela, Bolivarian Republic of</t>
  </si>
  <si>
    <t>Viet Nam</t>
  </si>
  <si>
    <t>Wallis and Futuna Islands</t>
  </si>
  <si>
    <t>Western Sahara</t>
  </si>
  <si>
    <t>Yemen</t>
  </si>
  <si>
    <t>Zambia</t>
  </si>
  <si>
    <t>Zimbabwe</t>
  </si>
  <si>
    <t>submitted to competent authority</t>
  </si>
  <si>
    <t>approved by competent authority</t>
  </si>
  <si>
    <t>rejected by competent authority</t>
  </si>
  <si>
    <t>returned with remarks</t>
  </si>
  <si>
    <t>working draft</t>
  </si>
  <si>
    <t>Commercial</t>
  </si>
  <si>
    <t>Non-commercial</t>
  </si>
  <si>
    <t>Scheduled flights</t>
  </si>
  <si>
    <t>Non-scheduled flights</t>
  </si>
  <si>
    <t>Scheduled and non-scheduled flights</t>
  </si>
  <si>
    <t>Only intra-EEA flights</t>
  </si>
  <si>
    <t>Flights inside and outside the EEA</t>
  </si>
  <si>
    <t>Captain</t>
  </si>
  <si>
    <t>Mr</t>
  </si>
  <si>
    <t>Mrs</t>
  </si>
  <si>
    <t>Ms</t>
  </si>
  <si>
    <t>Miss</t>
  </si>
  <si>
    <t>Dr</t>
  </si>
  <si>
    <t>Company / Limited Liability Partnership</t>
  </si>
  <si>
    <t>Partnership</t>
  </si>
  <si>
    <t>Individual / Sole Trader</t>
  </si>
  <si>
    <t>Actual/standard mass from Mass &amp; Balance documentation</t>
  </si>
  <si>
    <t>Alternative methodology</t>
  </si>
  <si>
    <t>100 kg default</t>
  </si>
  <si>
    <t>Mass contained in Mass &amp; Balance documentation</t>
  </si>
  <si>
    <t>No documented environmental management system in place</t>
  </si>
  <si>
    <t>Documented environmental management system in place</t>
  </si>
  <si>
    <t>Certified environmental management system in place</t>
  </si>
  <si>
    <t>Use by Competent Authority only</t>
  </si>
  <si>
    <t>To be filled in by aircraft operator</t>
  </si>
  <si>
    <t>Monitoring Plan for Annual Emissions</t>
  </si>
  <si>
    <t>Monitoring Plan for  Tonne-Kilometre Data</t>
  </si>
  <si>
    <t>n.a.</t>
  </si>
  <si>
    <t>New monitoring plan</t>
  </si>
  <si>
    <t>Updated monitoring plan</t>
  </si>
  <si>
    <t>As measured by fuel supplier</t>
  </si>
  <si>
    <t>On-board measuring equipment</t>
  </si>
  <si>
    <t>Taken from fuel supplier (delivery notes or invoices)</t>
  </si>
  <si>
    <t>Recorded in Mass &amp; Balance documentation</t>
  </si>
  <si>
    <t>Recorded in aircraft technical log</t>
  </si>
  <si>
    <t>Transmitted electronically from aircraft to operator</t>
  </si>
  <si>
    <t>Daily</t>
  </si>
  <si>
    <t>Weekly</t>
  </si>
  <si>
    <t>Monthly</t>
  </si>
  <si>
    <t>Annual</t>
  </si>
  <si>
    <t>EF</t>
  </si>
  <si>
    <t>NCV &amp; EF</t>
  </si>
  <si>
    <t>Biogenic content</t>
  </si>
  <si>
    <t>NCV, EF &amp; bio</t>
  </si>
  <si>
    <t>Major</t>
  </si>
  <si>
    <t>Minor</t>
  </si>
  <si>
    <t>De minimis</t>
  </si>
  <si>
    <t>Actual density in aircraft tanks</t>
  </si>
  <si>
    <t>Actual density of uplift</t>
  </si>
  <si>
    <t>Standard value (0.8kg/litre)</t>
  </si>
  <si>
    <t>Jet kerosene</t>
  </si>
  <si>
    <t>Jet gasoline</t>
  </si>
  <si>
    <t>Aviation gasoline</t>
  </si>
  <si>
    <t>Alternative</t>
  </si>
  <si>
    <t>unknown</t>
  </si>
  <si>
    <t>Commission approved tools</t>
  </si>
  <si>
    <t>Small Emitters Tool - Eurocontrol's fuel consumption estimation tool</t>
  </si>
  <si>
    <t>Environment Agency</t>
  </si>
  <si>
    <t>Ministry of Environment</t>
  </si>
  <si>
    <t>Civil Aviation Authority</t>
  </si>
  <si>
    <t>Ministry of Transport</t>
  </si>
  <si>
    <t>Afghanistan - Ministry of Transport and Civil Aviation</t>
  </si>
  <si>
    <t>Algeria - Établissement Nationale de la Navigation Aérienne (ENNA)</t>
  </si>
  <si>
    <t>Angola - Instituto Nacional da Aviação Civil</t>
  </si>
  <si>
    <t>Argentina - Comando de Regiones Aéreas</t>
  </si>
  <si>
    <t>Armenia - General Department of Civil Aviation</t>
  </si>
  <si>
    <t>Australia - Civil Aviation Safety Authority</t>
  </si>
  <si>
    <t>Austria - Ministry of Transport, Innovation and Technology</t>
  </si>
  <si>
    <t>Bahrain - Civil Aviation Affairs</t>
  </si>
  <si>
    <t>Belgium - Service public fédéral Mobilité et Transports</t>
  </si>
  <si>
    <t>Bermuda - Bermuda Department of Civil Aviation (DCA)</t>
  </si>
  <si>
    <t>Bolivia - Dirección General de Aeronáutica Civil</t>
  </si>
  <si>
    <t>Bosnia and Herzegovina - Department of Civil Aviation</t>
  </si>
  <si>
    <t>Botswana - Ministry of Works &amp; Transport — Department of Civil Aviation</t>
  </si>
  <si>
    <t>Brazil - Agência Nacional de Aviação Civil (ANAC)</t>
  </si>
  <si>
    <t>Brunei Darussalam - Department of Civil Aviation</t>
  </si>
  <si>
    <t>Bulgaria - Civil Aviation Administration</t>
  </si>
  <si>
    <t>Cambodia - Ministry of Public Works and Transport</t>
  </si>
  <si>
    <t>Canada - Canadian Transportation Agency</t>
  </si>
  <si>
    <t>Cape Verde - Agência de Aviação Civil (AAC)</t>
  </si>
  <si>
    <t>Cayman - Civil Aviation Authority (CAA) of the Cayman Islands</t>
  </si>
  <si>
    <t>Chile - Dirección General de Aeronáutica Civil</t>
  </si>
  <si>
    <t>China - Air Traffic Management Bureau (ATMB), General Administration of Civil Aviation of China</t>
  </si>
  <si>
    <t>Colombia - República de Colombia Aeronáutica Civil</t>
  </si>
  <si>
    <t>Costa Rica - Dirección General de Aviación Civil</t>
  </si>
  <si>
    <t>Croatia - Civil Aviation Authority</t>
  </si>
  <si>
    <t>Cuba - Instituto de Aeronáutica Civil de Cuba</t>
  </si>
  <si>
    <t>Cyprus - Department of Civil Aviation of Cyprus</t>
  </si>
  <si>
    <t>Czechia - Civil Aviation Authority</t>
  </si>
  <si>
    <t>Denmark - Civil Aviation Administration</t>
  </si>
  <si>
    <t>Dominican Republic - Instituto Dominicano de Aviación Civil</t>
  </si>
  <si>
    <t>Ecuador - Dirección General de Aviación Civil del Ecuador</t>
  </si>
  <si>
    <t>Egypt - Ministry of Civil Aviation</t>
  </si>
  <si>
    <t>El Salvador - Autoridad de Aviación Civil – El Salvador</t>
  </si>
  <si>
    <t>Estonia - Estonian Civil Aviation Administration</t>
  </si>
  <si>
    <t>Fiji - Civil Aviation Authority</t>
  </si>
  <si>
    <t>Finland - Civil Aviation Authority</t>
  </si>
  <si>
    <t>France - Direction Générale de I' Aviation Civile (DGAC)</t>
  </si>
  <si>
    <t>Gambia - Gambia Civil Aviation Authority</t>
  </si>
  <si>
    <t>Germany - Air Navigation Services</t>
  </si>
  <si>
    <t>Ghana - Ghana Civil Aviation Authority</t>
  </si>
  <si>
    <t>Greece - Hellenic Civil Aviation Authority</t>
  </si>
  <si>
    <t>Hungary - Directorate for Air Transport</t>
  </si>
  <si>
    <t>Iceland - Civil Aviation Administration</t>
  </si>
  <si>
    <t>India - Directorate General of Civil Aviation</t>
  </si>
  <si>
    <t>Indonesia - Direktorat Jenderal Perhubungan Udara</t>
  </si>
  <si>
    <t>Iran, Islamic Republic of - Civil Aviation Organization of Iran</t>
  </si>
  <si>
    <t>Ireland - Irish Aviation Authority</t>
  </si>
  <si>
    <t>Israel - Civil Aviation Authority</t>
  </si>
  <si>
    <t>Italy - Agenzia Nazionale della Sicurezza del Volo</t>
  </si>
  <si>
    <t>Jamaica - Civil Aviation Authority</t>
  </si>
  <si>
    <t>Japan - Ministry of Land, Infrastructure and Transport</t>
  </si>
  <si>
    <t>Jordan - Civil Aviation Regulatory Commission (CARC) (formerly called "Jordan Civil Aviation Authority (JCAA)")</t>
  </si>
  <si>
    <t>Kenya - Kenya Civil Aviation Authority</t>
  </si>
  <si>
    <t>Kuwait - Directorate General of Civil Aviation</t>
  </si>
  <si>
    <t>Latvia - Civil Aviation Agency</t>
  </si>
  <si>
    <t>Lebanon - Lebanese Civil Aviation Authority</t>
  </si>
  <si>
    <t>Libyan Arab Jamahiriya - Libyan Civil Aviation Authority</t>
  </si>
  <si>
    <t>Lithuania - Directorate of Civil Aviation</t>
  </si>
  <si>
    <t>Malaysia - Department of Civil Aviation</t>
  </si>
  <si>
    <t>Maldives - Civil Aviation Department</t>
  </si>
  <si>
    <t>Malta - Department of Civil Aviation</t>
  </si>
  <si>
    <t>Mexico - Secretaría de Comunicaciones y Transportes</t>
  </si>
  <si>
    <t>Mongolia - Civil Aviation Authority</t>
  </si>
  <si>
    <t>Montenegro - Ministry Maritime Affairs, Transportation and Telecommunications</t>
  </si>
  <si>
    <t>Morocco - Ministère des Transports</t>
  </si>
  <si>
    <t>Namibia - Directorate of Civil Aviation (DCA Namibia)</t>
  </si>
  <si>
    <t>Nepal - Civil Aviation Authority of Nepal</t>
  </si>
  <si>
    <t>Netherlands - Directorate General of Civil Aviation and Freight Transport (DGTL)</t>
  </si>
  <si>
    <t>New Zealand - Airways Corporation of New Zealand</t>
  </si>
  <si>
    <t>Nicaragua - Instituto Nicaragüense de Aeronáutica Civíl</t>
  </si>
  <si>
    <t>Nigeria - Nigerian Civil Aviation Authority (NCAA)</t>
  </si>
  <si>
    <t>Norway - Civil Aviation Authority</t>
  </si>
  <si>
    <t>Oman - Directorate General of Civil Aviation and Meteorology</t>
  </si>
  <si>
    <t>Pakistan - Civil Aviation Authority</t>
  </si>
  <si>
    <t>Paraguay - Dirección Nacional de Aeronáutica Civil (DINAC)</t>
  </si>
  <si>
    <t>Peru - Dirección General de Aeronáutica Civil</t>
  </si>
  <si>
    <t>Philippines - Air Transportation Office (ATO)</t>
  </si>
  <si>
    <t>Poland - Civil Aviation Office</t>
  </si>
  <si>
    <t>Portugal - Instituto Nacional de Aviação Civil</t>
  </si>
  <si>
    <t>Republic of Korea - Ministry of Construction and Transportation</t>
  </si>
  <si>
    <t>Republic of Moldova - Civil Aviation Administration</t>
  </si>
  <si>
    <t>Romania - Romanian Civil Aeronautical Authority</t>
  </si>
  <si>
    <t>Russian Federation - State Civil Aviation Authority</t>
  </si>
  <si>
    <t>Saudi Arabia - Ministry of Defense and Aviation Presidency of Civil Aviation</t>
  </si>
  <si>
    <t>Serbia - Civil Aviation Directorate</t>
  </si>
  <si>
    <t>Seychelles - Directorate of Civil Aviation, Ministry of Tourism</t>
  </si>
  <si>
    <t>Singapore - Civil Aviation Authority of Singapore</t>
  </si>
  <si>
    <t>Slovakia - Civil Aviation Authority</t>
  </si>
  <si>
    <t>Slovenia - Civil Aviation Authority</t>
  </si>
  <si>
    <t>Somalia - Civil Aviation Caretaker Authority for Somalia</t>
  </si>
  <si>
    <t>South Africa - Civil Aviation Authority</t>
  </si>
  <si>
    <t>Spain - Ministerio de Fomento, Civil Aviation</t>
  </si>
  <si>
    <t>Sri Lanka - Civil Aviation Authority</t>
  </si>
  <si>
    <t>Sudan - Civil Aviation Authority</t>
  </si>
  <si>
    <t>Suriname - Civil Aviation Department of Suriname</t>
  </si>
  <si>
    <t>Sweden - Swedish Civil Aviation Authority</t>
  </si>
  <si>
    <t>Switzerland - Federal Office for Civil Aviation (FOCA)</t>
  </si>
  <si>
    <t>Thailand - Department of Civil Aviation</t>
  </si>
  <si>
    <t>North Macedonia - Civil Aviation Administration</t>
  </si>
  <si>
    <t>The former Yugoslav Republic of Macedonia - Civil Aviation Administration</t>
  </si>
  <si>
    <t>Tonga - Ministry of Civil Aviation</t>
  </si>
  <si>
    <t>Trinidad and Tobago - Civil Aviation Authority</t>
  </si>
  <si>
    <t>Tunisia - Office de l'aviation civile et des aéroports</t>
  </si>
  <si>
    <t>Turkey - Directorate General of Civil Aviation</t>
  </si>
  <si>
    <t>Uganda - Civil Aviation Authority</t>
  </si>
  <si>
    <t>Ukraine - Civil Aviation Authority</t>
  </si>
  <si>
    <t>United Kingdom Civil Aviation Authority</t>
  </si>
  <si>
    <t>United Arab Emirates - General Civil Aviation Authority (GCAA)</t>
  </si>
  <si>
    <t>United Republic of Tanzania - Tanzania Civil Aviation Authority (TCAA)</t>
  </si>
  <si>
    <t>United States - Federal Aviation Administration</t>
  </si>
  <si>
    <t>Uruguay - Dirección Nacional de Aviación Civil e Infraestructura Aeronáutica (DINACIA)</t>
  </si>
  <si>
    <t>Vanuatu - Vanuatu Civil Aviation Authority</t>
  </si>
  <si>
    <t>Yemen - Civil Aviation and Meteorological Authority (CAMA)</t>
  </si>
  <si>
    <t>Zambia - Department of Civil Aviation</t>
  </si>
  <si>
    <t>MONITORING PLAN FOR TONNE-KILOMETRE DATA</t>
  </si>
  <si>
    <t>Distance</t>
  </si>
  <si>
    <t>Payload</t>
  </si>
  <si>
    <t>&lt;&lt;&lt; If you have selected the annual emissions monitoring plan under 2(c), click here to proceed to section 3a &gt;&gt;&gt;</t>
  </si>
  <si>
    <t>Please note: This information must also be entered in the equivalent subsection of the annual emissions monitoring plan. However, more information is needed for emission monitoring. Thus it is highly recommended to use the annual emissions monitoring plan as the primary document. It may reduce your workload by referring from here to the annual emissions MP.</t>
  </si>
  <si>
    <t>Generic aircraft type 
(ICAO aircraft type designator)</t>
  </si>
  <si>
    <t>Sub-type (optional input)</t>
  </si>
  <si>
    <t>Number of aircraft operated at time of submission</t>
  </si>
  <si>
    <t>Estimated number of aircraft to be operated</t>
  </si>
  <si>
    <t>&lt;&lt;&lt;Click here to proceed to section 5 "Distance"&gt;&gt;&gt;</t>
  </si>
  <si>
    <t>TONNE-KILOMETRE DATA PROVISION</t>
  </si>
  <si>
    <t>Confirmation that aerodrome coordinates will be taken from official AIP data:</t>
  </si>
  <si>
    <t>Please confirm by selecting "True" that the latitude and longitude of aerodromes will be taken from aerodrome location data published in Aeronautical Information Publications (AIP) in compliance with Annex 15 of the Chicago Convention or from a source using such AIP data.</t>
  </si>
  <si>
    <t>Please describe the methodology or data source used to determine Distance ( = Great Circle Distance + 95 km) between aerodrome pairs.</t>
  </si>
  <si>
    <t>Great Circle Distances must be approximated using the system referred to in Article 3.7.1.1 of Annex 15 of the Chicago Convention (World Geodetic System, WGS84)</t>
  </si>
  <si>
    <t>Please provide details about the systems and procedures you have in place to determine aerodrome location information:</t>
  </si>
  <si>
    <t>Please provide details about the systems and procedures you have in place to determine the Great Circle Distance between aerodrome pairs.</t>
  </si>
  <si>
    <t>Payload (Passengers and Checked Baggage)</t>
  </si>
  <si>
    <t>Which method will you use for determining the mass of passengers and checked baggage?</t>
  </si>
  <si>
    <r>
      <t xml:space="preserve">Operators may select as a minimum the Tier 1 level to determine the mass of passengers and checked baggage.  Within the same trading period the chosen tier shall be applied consistently for </t>
    </r>
    <r>
      <rPr>
        <b/>
        <i/>
        <u/>
        <sz val="8"/>
        <color indexed="18"/>
        <rFont val="Arial"/>
        <family val="2"/>
      </rPr>
      <t>ALL</t>
    </r>
    <r>
      <rPr>
        <i/>
        <sz val="8"/>
        <color indexed="18"/>
        <rFont val="Arial"/>
        <family val="2"/>
      </rPr>
      <t xml:space="preserve"> flights.</t>
    </r>
  </si>
  <si>
    <r>
      <t xml:space="preserve">Operators may select as a minimum the Tier 1 level to determine the mass of passengers and checked baggage.  Within the same trading period the chosen tier shall be applied consistently for </t>
    </r>
    <r>
      <rPr>
        <b/>
        <i/>
        <u/>
        <sz val="8"/>
        <color theme="0" tint="-0.34998626667073579"/>
        <rFont val="Arial"/>
        <family val="2"/>
      </rPr>
      <t>ALL</t>
    </r>
    <r>
      <rPr>
        <i/>
        <sz val="8"/>
        <color theme="0" tint="-0.34998626667073579"/>
        <rFont val="Arial"/>
        <family val="2"/>
      </rPr>
      <t xml:space="preserve"> flights.</t>
    </r>
  </si>
  <si>
    <t>Tier 1: use of a default value of 100 kg for each passenger including their checked baggage</t>
  </si>
  <si>
    <t xml:space="preserve">Tier 2: use of the mass for passengers and checked baggage contained in the mass and balance documentation for each flight </t>
  </si>
  <si>
    <t>If you have chosen tier 2, please state the source of the Mass &amp; Balance data (e.g. as required by EU OPS (Regulation (EC) 3922/91), or other international flight regulations).</t>
  </si>
  <si>
    <t>If you measure the mass of passengers and checked baggage, you should include here details of the measuring equipment used.</t>
  </si>
  <si>
    <r>
      <t xml:space="preserve">Please provide details about the systems and procedures you have in place to monitor the </t>
    </r>
    <r>
      <rPr>
        <b/>
        <u/>
        <sz val="10"/>
        <rFont val="Arial"/>
        <family val="2"/>
      </rPr>
      <t>number of passengers</t>
    </r>
    <r>
      <rPr>
        <b/>
        <sz val="10"/>
        <rFont val="Arial"/>
        <family val="2"/>
      </rPr>
      <t xml:space="preserve"> on a flight:</t>
    </r>
  </si>
  <si>
    <r>
      <t xml:space="preserve">Please provide details about the systems and procedures you have in place to monitor the </t>
    </r>
    <r>
      <rPr>
        <b/>
        <u/>
        <sz val="10"/>
        <color theme="0" tint="-0.34998626667073579"/>
        <rFont val="Arial"/>
        <family val="2"/>
      </rPr>
      <t>number of passengers</t>
    </r>
    <r>
      <rPr>
        <b/>
        <sz val="10"/>
        <color theme="0" tint="-0.34998626667073579"/>
        <rFont val="Arial"/>
        <family val="2"/>
      </rPr>
      <t xml:space="preserve"> on a flight:</t>
    </r>
  </si>
  <si>
    <t>Payload (Freight and Mail)</t>
  </si>
  <si>
    <t>Are you required to have Mass and Balance documentation for the relevant flights?</t>
  </si>
  <si>
    <r>
      <t xml:space="preserve">Aircraft operators which are </t>
    </r>
    <r>
      <rPr>
        <b/>
        <i/>
        <u/>
        <sz val="8"/>
        <color indexed="18"/>
        <rFont val="Arial"/>
        <family val="2"/>
      </rPr>
      <t>not</t>
    </r>
    <r>
      <rPr>
        <i/>
        <sz val="8"/>
        <color indexed="18"/>
        <rFont val="Arial"/>
        <family val="2"/>
      </rPr>
      <t xml:space="preserve"> required to have Mass and Balance documentation shall propose a suitable methodology for determining the mass of freight and mail.</t>
    </r>
  </si>
  <si>
    <r>
      <t xml:space="preserve">Aircraft operators which are </t>
    </r>
    <r>
      <rPr>
        <b/>
        <i/>
        <u/>
        <sz val="8"/>
        <color theme="0" tint="-0.34998626667073579"/>
        <rFont val="Arial"/>
        <family val="2"/>
      </rPr>
      <t>not</t>
    </r>
    <r>
      <rPr>
        <i/>
        <sz val="8"/>
        <color theme="0" tint="-0.34998626667073579"/>
        <rFont val="Arial"/>
        <family val="2"/>
      </rPr>
      <t xml:space="preserve"> required to have Mass and Balance documentation shall propose a suitable methodology for determining the mass of freight and mail.</t>
    </r>
  </si>
  <si>
    <t>Please provide a concise description of the proposed alternative methodology for determining mass of freight and mail.</t>
  </si>
  <si>
    <t>Please provide a description of the measurement devices used for measuring mass of freight and mail.</t>
  </si>
  <si>
    <t>Please confirm that you will exclude the tare weight of all pallets and containers that are not payload, and the service weight.</t>
  </si>
  <si>
    <t>Please provide details about the procedures you have in place to monitor the mass of freight and mail on a flight</t>
  </si>
  <si>
    <t>&lt;&lt;&lt; Click here to proceed to section 7 "Management" &gt;&gt;&gt;</t>
  </si>
  <si>
    <t>Tier 1 - Default 100 kg/passenger including checked baggage</t>
  </si>
  <si>
    <t>Tier 2 - Mass contained in Mass and Balance documentation</t>
  </si>
  <si>
    <t>Please continue input in section 6(e).</t>
  </si>
  <si>
    <t>Please go to section 6(f).</t>
  </si>
  <si>
    <t>Actual mail and freight mass will exclude the tare weight of freight containers, freight pallets and the service weight.</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</si>
  <si>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 Where relevant, this procedure must include the method how compliance with sustainability criteria for biofuels is demonstrated.</t>
  </si>
  <si>
    <t>Curaçao</t>
  </si>
  <si>
    <t>Kosovo, United Nations Interim Administration Mission</t>
  </si>
  <si>
    <t>Saint Helena, Ascension and Tristan da Cunha</t>
  </si>
  <si>
    <t>Sint Maarten (Dutch Part)</t>
  </si>
  <si>
    <t>South Georgia and the South Sandwich Islands</t>
  </si>
  <si>
    <t>South Sudan</t>
  </si>
  <si>
    <t>Taiwan</t>
  </si>
  <si>
    <t>Ireland - Commission for Aviation Regulation</t>
  </si>
  <si>
    <t xml:space="preserve">This monitoring plan template represents the views of the Commission services at the time of publication. </t>
  </si>
  <si>
    <t>This is the final version of the monitoring plan template for aircraft operators, as endorsed by the Climate Change Committee in its meeting on 11 July 2012.</t>
  </si>
  <si>
    <t>Explanation: There are several fields in this template that are identical in the template for the annual emissions monitoring plan, like address information, and information regarding the aircraft fleet. In order to avoid unnecessary duplication of reporting, you may select here either the annual emission monitoring plan or the monitoring plan for tonne-kilometre data (this file) as the primary document. As soon as you have made your selection, you have to fill in the requested information only once in the selected document.</t>
  </si>
  <si>
    <t>Please attach a representation of the data flow for the calculation of tonne-kilometre data, including responsibility for retrieving and storing each type of data.  If necessary, please refer to additional information, submitted with your completed plan.</t>
  </si>
  <si>
    <t>The brief description should identify that the review and validation process includes a check on whether tonne-kilometre data is complete, comparisons with data over previous years and criteria for rejecting data.</t>
  </si>
  <si>
    <t>Please provide the results of a risk assessment that demonstrates that the control activities and procedures are commensurate with the risks identified.</t>
  </si>
  <si>
    <t>Thereafter the formulas in row C must be corrected in order to point to the correct aircraft type in section 4(a).</t>
  </si>
  <si>
    <t>Under "Description of the relevant processing steps", please identify each step in the data flow from primary data to tonne-kilometres which reflect the sequence and interaction between data flow activities and include the formulas and data used to determine tonne-kilometres from the primary data.  Include details of any relevant electronic data processing and storage systems and other inputs (including manual inputs) and confirm how outputs of data flow activities are recorded.</t>
  </si>
  <si>
    <t>ANNUAL EMISSIONS REPORT FOR AIRCRAFT OPERATORS</t>
  </si>
  <si>
    <t>Reporting year</t>
  </si>
  <si>
    <t>Identification of the verifier</t>
  </si>
  <si>
    <t>Information about the monitoring plan</t>
  </si>
  <si>
    <t>Total emissions</t>
  </si>
  <si>
    <t>Use of simplified procedures</t>
  </si>
  <si>
    <t>Approach for data gaps</t>
  </si>
  <si>
    <t>Detailed emissions data</t>
  </si>
  <si>
    <t>Aircraft data</t>
  </si>
  <si>
    <t>Annex: Emissions per aerodrome pair</t>
  </si>
  <si>
    <t>Reporting year:</t>
  </si>
  <si>
    <t>Information about this report:</t>
  </si>
  <si>
    <t>Total emissions of the aircraft operator:</t>
  </si>
  <si>
    <r>
      <t xml:space="preserve">This is the amount of allowances to be surrendered by the aircraft operator, as calculated in section 5(c). </t>
    </r>
    <r>
      <rPr>
        <i/>
        <sz val="8"/>
        <color indexed="10"/>
        <rFont val="Arial"/>
        <family val="2"/>
      </rPr>
      <t xml:space="preserve">This figure should only include emissions to be reported under the EU ETS, i.e. relate to the reduced scope. </t>
    </r>
  </si>
  <si>
    <t xml:space="preserve">This is the amount of allowances to be surrendered by the aircraft operator, as calculated in section 5(c). This figure should only include emissions to be reported under the EU ETS, i.e. relate to the reduced scope. </t>
  </si>
  <si>
    <t>Memo-Item: Total (sustainable) biomass emissions</t>
  </si>
  <si>
    <t>Memo-Item: Total non-sustainable biomass emissions</t>
  </si>
  <si>
    <t>Article 67(3) of the MRR requires:</t>
  </si>
  <si>
    <t>The annual emission reports and tonne-kilometre data reports shall at least contain the information listed in Annex X.</t>
  </si>
  <si>
    <t>Annex X sets out the minimum content of Annual Emissions Reports.</t>
  </si>
  <si>
    <t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t>
  </si>
  <si>
    <t xml:space="preserve">This reporting template represents the views of the Commission services at the time of publication. </t>
  </si>
  <si>
    <t>This is the final version of the annual emissions report template for aircraft operators, as re-endorsed by the Climate Change Committee by written procedure in December 2015.</t>
  </si>
  <si>
    <t>http://ec.europa.eu/clima/policies/ets/monitoring/documentation_en.htm</t>
  </si>
  <si>
    <r>
      <t xml:space="preserve">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t>
    </r>
    <r>
      <rPr>
        <sz val="10"/>
        <color indexed="10"/>
        <rFont val="Arial"/>
        <family val="2"/>
      </rPr>
      <t>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r>
  </si>
  <si>
    <t>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</si>
  <si>
    <t>Emissions from flights within Croatia, and between Croatia and third countries ("additional aviation activities" hereinafter) need to be monitored from 1 July 2013 (i.e. reported for the first time in 2014). However, additional aviation activities are fully included from 2014. Thus, allowances for emissions from additional aviation activities must be surrendered for the first time in 2015 (i.e. for emissions in 2014).</t>
  </si>
  <si>
    <t>In order to report correctly the emissions of 2013, aircraft operators who carry out additional aviation activities should submit their annual emission reports to the competent authority using two separate files (based on this template): In one template all emissions shall be reported for which allowances have to be surrendered. In the second file the additional aviation allowances shall be reported.</t>
  </si>
  <si>
    <t>From 2014 onwards (i.e. for all reports submitted from 2015 onwards) only one report containing all emissions from all flights falling under the EU ETS is to be submitted.</t>
  </si>
  <si>
    <t>This emission report must be submitted to your Competent Authority ("CA") to the following address:</t>
  </si>
  <si>
    <t>Contact your Competent Authority if you need assistance to complete your Annual Emissions Report. Some Member States have produced guidance documents which you may find useful in addition to the Commission's guidance mentioned above.</t>
  </si>
  <si>
    <t>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</si>
  <si>
    <t>This template has been developed to accommodate the minimum content of an annual emissions report required by the MRR. Operators should therefore refer to the MRR and additional Member State requirements (if any) when completing.</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</si>
  <si>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</si>
  <si>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</si>
  <si>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</si>
  <si>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t>
  </si>
  <si>
    <t>Note: Formulae must be checked and corrected in particular whenever rows and/or columns are added by aircraft operators.</t>
  </si>
  <si>
    <t>GENERAL INFORMATION ABOUT THIS REPORT</t>
  </si>
  <si>
    <t>Reporting Year</t>
  </si>
  <si>
    <t>This is the year in which the reported aviation activities took place, i.e. 2013 for the report which you submit by 31 March 2014.</t>
  </si>
  <si>
    <t>Identification of the Aircraft Operator</t>
  </si>
  <si>
    <t>This name should be the legal entity carrying out the aviation activities defined in Annex I of the EU ETS Directive.</t>
  </si>
  <si>
    <t>The ICAO designator should be that specified in box 7 of the ICAO flight plan (excluding the flight identification) as specified in ICAO document 8585.  If you do not specify an ICAO designator in flight plans, please select "n.a." from the drop-down list and proceed to 2(e).</t>
  </si>
  <si>
    <t>If a unique ICAO designator is not available, enter the identification for ATC purposes (tail numbers) of all the aircraft you operate as used in box 7 of the flight plan.  Please separate each registration with a semicolon (";"). Otherwise enter "n.a." and proceed.</t>
  </si>
  <si>
    <t>Telephone Number:</t>
  </si>
  <si>
    <t>Who can we contact about your annual emission report?</t>
  </si>
  <si>
    <t>It will help the competent authority to have someone who they can contact directly with any questions about your report. The person you name should have the authority to act on your behalf. This may be an agent acting on behalf of the aircraft operator.</t>
  </si>
  <si>
    <t>You must provide an address for receipt of notices or other documents under or in connection with the EU Greenhouse Gas Emissions Trading Scheme. Please provide an electronic address and a postal address within the administering Member State.</t>
  </si>
  <si>
    <t>Name and address of the verifier of your annual emission report</t>
  </si>
  <si>
    <t>Company Name:</t>
  </si>
  <si>
    <t>Contact person for the verifier:</t>
  </si>
  <si>
    <t>It will help the competent authority to have someone who they can contact directly with any questions about verification of your report. The person you name should be familiar with this report.</t>
  </si>
  <si>
    <t>Information about the verifier's accreditation:</t>
  </si>
  <si>
    <t>Note that pursuant to Article 54(2) of the "AVR" (Accreditation and Verification Regulation; Regulation (EU) No. 600/2012), a Member State may choose to entrust certification of natural persons as verifiers to a national authority other than the national accreditation body.</t>
  </si>
  <si>
    <t>In such cases, "accreditation" should be read as "certification", and "accreditation body" as "national authority".</t>
  </si>
  <si>
    <t>Member State where accreditation has been granted:</t>
  </si>
  <si>
    <t>Registration number issued by the accreditation body:</t>
  </si>
  <si>
    <t>The availability of such registration information may depend on the accrediting Member State's practice of accreditation of verifiers.</t>
  </si>
  <si>
    <t>&lt;&lt;&lt; Click here to proceed to section 4 "Information about the monitoring plan" &gt;&gt;&gt;</t>
  </si>
  <si>
    <t>EMISSION DATA OVERVIEW</t>
  </si>
  <si>
    <t>Version number of the latest approved monitoring plan:</t>
  </si>
  <si>
    <t>Date of approval of the used monitoring plan:</t>
  </si>
  <si>
    <t>Have there been any deviations from your approved monitoring plan during the reporting year?</t>
  </si>
  <si>
    <t>If you have answered "True", please describe all relevant changes in the operations and all deviations from your approved monitoring plan, providing information about each deviation and the consequence for the calculation of annual emissions.</t>
  </si>
  <si>
    <t>Total number of flights in the reporting year covered by the EU ETS:</t>
  </si>
  <si>
    <t>For fuels which contain biomass, compliance with the sustainability criteria pursuant to the RES Directive has to be demonstrated (see guidance document no. 3)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</si>
  <si>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Jet kerosene (jet A1 or jet A)</t>
  </si>
  <si>
    <t>Fuel consumption and Emissions</t>
  </si>
  <si>
    <t>Here you have to enter the quantity of each fuel used in the reporting year (also referred to as "activity data"). The emissions and the biomass-related memo-items are calculated automatically using the calculation factors defined under point (b).</t>
  </si>
  <si>
    <t xml:space="preserve">(final) EF </t>
  </si>
  <si>
    <t>This is calculated from the preliminary emission factor and the sustainable biomass content (where the sustainable biomass content is zero-rated).</t>
  </si>
  <si>
    <t xml:space="preserve">fuel consumption </t>
  </si>
  <si>
    <t xml:space="preserve">Please enter here the total fuel consumption of each fuel in tonnes in the reporting year. Please note that this figure should only include fuel consumption to be reported under the EU ETS, i.e. relate to the reduced scope. </t>
  </si>
  <si>
    <t>CO2 emissions 
[t CO2]</t>
  </si>
  <si>
    <t>This is the amount of "fossil" emissions (including emissions from biomass for which no evidence for compliance with the sustainability criteria has been provided). It is identical to the emissions for which allowances are to be surrendered.</t>
  </si>
  <si>
    <t>CO2 from sustainable biomass</t>
  </si>
  <si>
    <t xml:space="preserve">This figure shows as a memo-item the emissions from sustainable biomass. </t>
  </si>
  <si>
    <t>CO2 from non-sustainable biomass</t>
  </si>
  <si>
    <t>This figure shows as a memo-item the emissions from non-sustainable biomass. Note that these emissions are part of the "fossil" emissions and do not need to be added once more.</t>
  </si>
  <si>
    <t>(final) EF 
[t CO2 / t fuel]</t>
  </si>
  <si>
    <t>fuel consumption [tonnes]</t>
  </si>
  <si>
    <t>If required, you may add further fuels by inserting rows above this one. This is best done by inserting a copied row. However, formulae will need corrections!</t>
  </si>
  <si>
    <t>Total CO2 emissions in the reporting year:</t>
  </si>
  <si>
    <r>
      <t xml:space="preserve">IMPORTANT NOTE: This total emissions figure is considered the correct figure for the annual emissions. If aggregation in the sheet "Emissions Data" or in the Annex deviates from this figure, make sure that the data in all tables is consistent. 
</t>
    </r>
    <r>
      <rPr>
        <b/>
        <sz val="10"/>
        <color indexed="10"/>
        <rFont val="Arial"/>
        <family val="2"/>
      </rPr>
      <t>This figure should only include emissions to be reported under the EU ETS, i.e. relate to the reduced scope.</t>
    </r>
  </si>
  <si>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t>
  </si>
  <si>
    <t>Memo Item: Sustainable biomass:</t>
  </si>
  <si>
    <t>Memo Item: Non-sustainable biomass:</t>
  </si>
  <si>
    <t>Fuel use per aircraft type:</t>
  </si>
  <si>
    <t>Please indicate for each fuel type used the associated generic aircraft types as listed. If aircraft types have used different fuel in the reporting period, please list them for each fuel used. The names of alternative fuels are taken automatically from section (b) above.</t>
  </si>
  <si>
    <t>Generic Aircraft types using this fuel (ICAO designators separated by semicolons)</t>
  </si>
  <si>
    <t>Have you been using the simplified approach allowed for small emitters pursuant to Article 54(2) of the MRR?</t>
  </si>
  <si>
    <t>--&gt; 55(2)</t>
  </si>
  <si>
    <r>
      <t xml:space="preserve">Small emitters are aircraft operators which operate fewer than 243 flights per period for three consecutive four-month periods and aircraft operators with total annual emissions lower than 25,000 t CO2 per year, </t>
    </r>
    <r>
      <rPr>
        <i/>
        <sz val="8"/>
        <color indexed="10"/>
        <rFont val="Arial"/>
        <family val="2"/>
      </rPr>
      <t>related to the EU ETS full scope.</t>
    </r>
  </si>
  <si>
    <t>Small emitters are aircraft operators which operate fewer than 243 flights per period for three consecutive four-month periods and aircraft operators with total annual emissions lower than 25,000 t CO2 per year, related to the EU ETS full scope.</t>
  </si>
  <si>
    <r>
      <t xml:space="preserve">Please report the total number of </t>
    </r>
    <r>
      <rPr>
        <b/>
        <sz val="10"/>
        <color indexed="10"/>
        <rFont val="Arial"/>
        <family val="2"/>
      </rPr>
      <t xml:space="preserve">full scope </t>
    </r>
    <r>
      <rPr>
        <b/>
        <sz val="10"/>
        <rFont val="Arial"/>
        <family val="2"/>
      </rPr>
      <t>flights covered by the EU ETS in each four-month period during the reporting year for which you are the aircraft operator:</t>
    </r>
  </si>
  <si>
    <t>Please report the total number of full scope flights covered by the EU ETS in each four-month period during the reporting year for which you are the aircraft operator:</t>
  </si>
  <si>
    <t>The local time of departure of the flight determines in which four-month period that flight shall be taken into account.</t>
  </si>
  <si>
    <t>Four-month period</t>
  </si>
  <si>
    <t>Number of flights</t>
  </si>
  <si>
    <t>January to April</t>
  </si>
  <si>
    <t>May to August</t>
  </si>
  <si>
    <t>September to December</t>
  </si>
  <si>
    <t>Total:</t>
  </si>
  <si>
    <t>Total emissions in the reporting year:</t>
  </si>
  <si>
    <t>Please enter here the total emissions related to the full scope.</t>
  </si>
  <si>
    <t>Confirmation of eligibility for simplified approach:</t>
  </si>
  <si>
    <t>Note: If you are using the simplified approach for small emitters, but have exceeded the applicable threshold (which is indicated here by the message "not eligible"), the following consequences apply in accordance with Article 54(4) of the MRR:</t>
  </si>
  <si>
    <t>The aircraft operator shall notify the competent authority thereof without undue delay and submit a significant modification of the monitoring plan within the meaning of point (vi) of Article 15(4)(a) to the competent authority for approval.</t>
  </si>
  <si>
    <t>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t>
  </si>
  <si>
    <t>List of data gaps occurred and method of determining surrogate data</t>
  </si>
  <si>
    <t>In accordance with Article 65(2) of the MRR data gaps must be closed by a method defined in the monitoring plan, or if this is not possible, by using a tool which may be used for the small emitters approach.</t>
  </si>
  <si>
    <t>--&gt; 66(2)</t>
  </si>
  <si>
    <t>Please specify here the data gaps occurred, how surrogate data was determined, and the amount of emissions according to the surrogate data. Note that these data are NOT added to the emissions given in section 5 and/or 12 (if relevant), but must be included in the data in those sections.</t>
  </si>
  <si>
    <t>The table should be filled as follows:</t>
  </si>
  <si>
    <t>Reference</t>
  </si>
  <si>
    <t>Here the data gap should be specified, either by referencing the aircraft, aerodrome, flight numbers etc. for which the data gap occurred, and/or the start and end date of the period where the gap occurred.</t>
  </si>
  <si>
    <t>Reason</t>
  </si>
  <si>
    <t>Please describe here the reason why the data gap occurred.</t>
  </si>
  <si>
    <t>Type</t>
  </si>
  <si>
    <t>Please describe here the type of data gap, such as "density measurement not available", "fuel uplift not available", "flights missing activity list", etc.</t>
  </si>
  <si>
    <t>Replacement method</t>
  </si>
  <si>
    <t>please indicate the method of determining surrogate data, by referencing the procedure in your monitoring plan, or by "small emitter tool" etc.</t>
  </si>
  <si>
    <t>Emissions</t>
  </si>
  <si>
    <t>Please give here the amount of emissions which are affected by the data gap. This figure must be INCLUDED in section 5.</t>
  </si>
  <si>
    <t>&lt;&lt;&lt; Click here to proceed to section 8 "Detailed emission data" &gt;&gt;&gt;</t>
  </si>
  <si>
    <t>EMISSION DATA PER COUNTRY AND FUEL</t>
  </si>
  <si>
    <r>
      <t xml:space="preserve">The following table is used for control purposes only. Please make sure that the totals are consistent with the result of section 5(c). The following sections (b) </t>
    </r>
    <r>
      <rPr>
        <b/>
        <sz val="10"/>
        <color indexed="10"/>
        <rFont val="Arial"/>
        <family val="2"/>
      </rPr>
      <t>and (c)</t>
    </r>
    <r>
      <rPr>
        <b/>
        <sz val="10"/>
        <rFont val="Arial"/>
        <family val="2"/>
      </rPr>
      <t xml:space="preserve"> should be filled without any double counting of emissions.</t>
    </r>
  </si>
  <si>
    <t>The following table is used for control purposes only. Please make sure that the totals are consistent with the result of section 5(c). The following sections (b) and (c) should be filled without any double counting of emissions.</t>
  </si>
  <si>
    <t>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</si>
  <si>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Note: Only fossil emissions are accounted for in this section. This includes biomass emissions for which sustainability criteria have not been proven.</t>
  </si>
  <si>
    <t>Emissions from each Fuel [t CO2]</t>
  </si>
  <si>
    <t>TOTAL [t CO2]</t>
  </si>
  <si>
    <t>Jet kerosene (jet A1 or 
jet A)</t>
  </si>
  <si>
    <t>Alternative fuel 1</t>
  </si>
  <si>
    <t>&lt;add more fuels before this column&gt;</t>
  </si>
  <si>
    <r>
      <t xml:space="preserve">Total aggregated CO2 emissions from all flights </t>
    </r>
    <r>
      <rPr>
        <b/>
        <sz val="8"/>
        <color indexed="10"/>
        <rFont val="Arial"/>
        <family val="2"/>
      </rPr>
      <t>relating</t>
    </r>
    <r>
      <rPr>
        <b/>
        <sz val="8"/>
        <rFont val="Arial"/>
        <family val="2"/>
      </rPr>
      <t xml:space="preserve"> </t>
    </r>
    <r>
      <rPr>
        <b/>
        <sz val="8"/>
        <color indexed="10"/>
        <rFont val="Arial"/>
        <family val="2"/>
      </rPr>
      <t xml:space="preserve">to the reduced scope </t>
    </r>
    <r>
      <rPr>
        <b/>
        <sz val="8"/>
        <rFont val="Arial"/>
        <family val="2"/>
      </rPr>
      <t>of the EU ETS Directive (= B + C)</t>
    </r>
  </si>
  <si>
    <t>Total aggregated CO2 emissions from all flights relating to the reduced scope of the EU ETS Directive (= B + C)</t>
  </si>
  <si>
    <t>of which departure MS is the same as arrival MS (domestic flights, =sum of section (b))</t>
  </si>
  <si>
    <t>of which all other intra EEA flights</t>
  </si>
  <si>
    <t>emissions from all flights departing from a Member State to another Member State (=sum of section (c))</t>
  </si>
  <si>
    <t>emissions from all flights arriving at a Member State from a third country (=sum of section (d))</t>
  </si>
  <si>
    <t>Total emissions entered in section 5(c):</t>
  </si>
  <si>
    <t>Difference to data given in this sheet:</t>
  </si>
  <si>
    <t>Aggregated CO2 emissions from all flights of which departure Member State is the same as arrival Member State (domestic flights):</t>
  </si>
  <si>
    <t>Please complete the following table with the appropriate data for the reporting year.</t>
  </si>
  <si>
    <t>Member State of departure and arrival</t>
  </si>
  <si>
    <t>Sum of domestic flights:</t>
  </si>
  <si>
    <t>Aggregated CO2 emissions from all flights departing from each Member State to another Member State:</t>
  </si>
  <si>
    <t>Member State of departure</t>
  </si>
  <si>
    <t>State of arrival</t>
  </si>
  <si>
    <t>&lt; Please add additional rows above this row, if needed &gt;</t>
  </si>
  <si>
    <t>Aggregated CO2 emissions from all flights arriving at each Member State from a third country:</t>
  </si>
  <si>
    <t>State of departure</t>
  </si>
  <si>
    <t>Member State of arrival</t>
  </si>
  <si>
    <t>Aggregated CO2 emissions from all flights arriving at each MS from third countries:</t>
  </si>
  <si>
    <t>Provide details for each aircraft used during the year covered by this report for which you are the aircraft operator, and which has been used for activities covered by Annex I of the EU ETS Directive.</t>
  </si>
  <si>
    <t>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t>
  </si>
  <si>
    <t>Aircraft type (ICAO aircraft type designator)</t>
  </si>
  <si>
    <t>Aircraft subtype (as specified in the monitoring plan, if applicable)</t>
  </si>
  <si>
    <t>Aircraft registration number</t>
  </si>
  <si>
    <t>Owner of the aircraft (if known)
 In the case of leased-in aircraft, the lessor</t>
  </si>
  <si>
    <t>If the aircraft has not belonged to your fleet for the whole reporting year:</t>
  </si>
  <si>
    <t>Starting date</t>
  </si>
  <si>
    <t>End date</t>
  </si>
  <si>
    <t>Please continue by adding further rows as needed.</t>
  </si>
  <si>
    <t>&lt;&lt;&lt; Click here to proceed to section 11 "Emissions per aerodrome pair" &gt;&gt;&gt;</t>
  </si>
  <si>
    <t>Additional emissions data</t>
  </si>
  <si>
    <t>Please indicate if the data in this annex is considered confidential:</t>
  </si>
  <si>
    <r>
      <t>Please provide the data (totals during the reporting period,</t>
    </r>
    <r>
      <rPr>
        <b/>
        <sz val="10"/>
        <color indexed="10"/>
        <rFont val="Arial"/>
        <family val="2"/>
      </rPr>
      <t xml:space="preserve"> related to the reduced scope</t>
    </r>
    <r>
      <rPr>
        <b/>
        <sz val="10"/>
        <rFont val="Arial"/>
        <family val="2"/>
      </rPr>
      <t>) in the table below per aerodrome pair.</t>
    </r>
  </si>
  <si>
    <t>Please provide the data (totals during the reporting period, related to the reduced scope) in the table below per aerodrome pair.</t>
  </si>
  <si>
    <t xml:space="preserve">Please fill in the table below. If you need additional rows, please insert them above the "end of list" row. In that case the formula for the totals will work correctly. </t>
  </si>
  <si>
    <t>Note that if you add additional cells, and/or copy and paste data from another program or worksheet, you have to check the correctness of existing formulae. It is the full responsibility of the aircraft operator to check the correctness of calculations.</t>
  </si>
  <si>
    <t>Aerodrome Pair (use 4-letter ICAO designator)</t>
  </si>
  <si>
    <t>Total number of flights per aerodrome pair</t>
  </si>
  <si>
    <r>
      <t>Total emissions</t>
    </r>
    <r>
      <rPr>
        <b/>
        <sz val="8"/>
        <rFont val="Arial"/>
        <family val="2"/>
      </rPr>
      <t xml:space="preserve">
[t CO2]</t>
    </r>
  </si>
  <si>
    <t>Total emissions
[t CO2]</t>
  </si>
  <si>
    <t>Aerodrome of departure</t>
  </si>
  <si>
    <t>Aerodrome of arrival</t>
  </si>
  <si>
    <t>end of list</t>
  </si>
  <si>
    <t>Totals:</t>
  </si>
  <si>
    <t>Total number of flights</t>
  </si>
  <si>
    <t>Reporting year totals:</t>
  </si>
  <si>
    <t>Compare data entered in section 5:</t>
  </si>
  <si>
    <t>eligible</t>
  </si>
  <si>
    <t>not eligible</t>
  </si>
  <si>
    <t>Number is different from input in section 5(a)!</t>
  </si>
  <si>
    <t>Italy - ENAC - Ente Nazionale per l'Aviazione Civile</t>
  </si>
  <si>
    <t>This Annual Emissions Report was submitted by:</t>
  </si>
  <si>
    <t>In accordance with Article 28a(6) of the EU ETS Directive stipulates that aircraft operators emitting less than 25 000 tonnes of CO2 per year, related to the full scope of the EU ETS, both commercial and non-commercial, can choose an alternative to verification by an independent verifier. 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
Where small emitters make use of this simplification, this section can be left empty.</t>
  </si>
  <si>
    <t xml:space="preserve">Please note that all figures should only include emissions to be reported under the EU ETS, i.e. relate to the reduced scope. </t>
  </si>
  <si>
    <t>NEW 2019</t>
  </si>
  <si>
    <t>Used for combined reporting under the EU ETS and ICAO CORSIA</t>
  </si>
  <si>
    <t>2nd Draft for Discussion within the TWG on MRVA</t>
  </si>
  <si>
    <r>
      <t xml:space="preserve">Detailed emissions data </t>
    </r>
    <r>
      <rPr>
        <sz val="10"/>
        <rFont val="Calibri"/>
        <family val="2"/>
      </rPr>
      <t>–</t>
    </r>
    <r>
      <rPr>
        <sz val="10"/>
        <rFont val="Arial"/>
        <family val="2"/>
      </rPr>
      <t xml:space="preserve"> EU ETS</t>
    </r>
  </si>
  <si>
    <t>Annex: Emissions per aerodrome pair – EU ETS</t>
  </si>
  <si>
    <t>CORSIA emissions data</t>
  </si>
  <si>
    <t>Version number of this emission report</t>
  </si>
  <si>
    <t>This emission report is used for CORSIA:</t>
  </si>
  <si>
    <t>Total emissions of the aircraft operator from flights reportable under the EU ETS:</t>
  </si>
  <si>
    <t>Emissions of the aircraft operator from international flights covered by CORSIA:</t>
  </si>
  <si>
    <t>Total emissions from international flights:</t>
  </si>
  <si>
    <t>Total emissions from flights subject to offsetting requirements:</t>
  </si>
  <si>
    <t>Total emissions reductions claimed from the use of CORSIA eligible fuels:</t>
  </si>
  <si>
    <t>Legal basis</t>
  </si>
  <si>
    <t>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</si>
  <si>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The EU ETS Directive can be retrieved from:</t>
  </si>
  <si>
    <t>http://data.europa.eu/eli/dir/2003/87/2020-01-01</t>
  </si>
  <si>
    <t>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</si>
  <si>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t>
  </si>
  <si>
    <t>That delegated act can be downloaded from:</t>
  </si>
  <si>
    <t>https://eur-lex.europa.eu/eli/reg_del/2019/1603/oj</t>
  </si>
  <si>
    <t>The Monitoring and Reporting Regulation (Commission Regulation (EU) No 601/2012, hereinafter the "MRR"), defines further requirements for monitoring and reporting. The MRR can be downloaded from:</t>
  </si>
  <si>
    <t>https://eur-lex.europa.eu/eli/reg/2012/601</t>
  </si>
  <si>
    <t>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t>
  </si>
  <si>
    <t>Some Article numbers change as consequence of the transition to the new MRR. Therefore, from 2021, Article numbers must be read using the correlation table presented in Annex XI to Regulation (EU) 2066/2012. The latter Regulation (i.e. the "new MRR") can be downloaded from:</t>
  </si>
  <si>
    <t>http://data.europa.eu/eli/reg_impl/2018/2066/oj</t>
  </si>
  <si>
    <t>Information on CORSIA</t>
  </si>
  <si>
    <t>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t>
  </si>
  <si>
    <t xml:space="preserve">The SARPs are supplemented by the "Environmental Technical Manual, Volume IV — Carbon Offsetting and Reduction Scheme for International Aviation (CORSIA)" (Doc 9501), referred to as the "ETM", and further "ICAO CORSIA Implementation Elements". </t>
  </si>
  <si>
    <t>The SARPs, the ETM and all Implementation Elements are available under the following address:</t>
  </si>
  <si>
    <t>https://www.icao.int/environmental-protection/CORSIA/Pages/default.aspx</t>
  </si>
  <si>
    <t>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t>
  </si>
  <si>
    <t>Scope and relevance</t>
  </si>
  <si>
    <t>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</si>
  <si>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t>
  </si>
  <si>
    <t>Commercial air transport operators, operating either fewer than 243 flights per period for three consecutive four-month periods, or operating flights with total annual emissions lower than 10 000 tonnes per year under the "full scope".</t>
  </si>
  <si>
    <t>Non-commercial air transport operators which emit less than 1 000 t CO2 per year under the "full scope" of the EU ETS.</t>
  </si>
  <si>
    <t>Note that under the EU ETS some simplified monitoring, reporting and verification requirements apply for small emitters. This template guides you whether you are allowed to use the simplified approaches (see section (6) of this template).</t>
  </si>
  <si>
    <t>For further information, in particular regarding "full" and "reduced" scope and simplified approaches, please see MRR guidance document No.2 "General guidance for Aircraft Operators", which can be downloaded under:</t>
  </si>
  <si>
    <t>https://ec.europa.eu/clima/sites/clima/files/ets/monitoring/docs/gd2_guidance_aircraft_en.pdf</t>
  </si>
  <si>
    <t>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t>
  </si>
  <si>
    <t>Guidance on this template</t>
  </si>
  <si>
    <t>According to the delegated act pursuant to Article 28c of the EU ETS Directive, this template is also to be used for CORSIA reporting.</t>
  </si>
  <si>
    <r>
      <t xml:space="preserve">This version is based on the final version of the annual emissions report template for aircraft operators, as re-endorsed by the Climate Change Committee by written procedure in December 2015;
The is the second draft of the revised version, dated 18 October 2019.
</t>
    </r>
    <r>
      <rPr>
        <sz val="14"/>
        <color rgb="FFFF0000"/>
        <rFont val="Arial"/>
        <family val="2"/>
      </rPr>
      <t>This template is a draft for discussion and should NOT be used for the submission of data.</t>
    </r>
  </si>
  <si>
    <t>This version is based on the final version of the annual emissions report template for aircraft operators, as re-endorsed by the Climate Change Committee by written procedure in December 2015;
The is the second draft of the revised version, dated 18 October 2019.
This template is a draft for discussion and should NOT be used for the submission of data.</t>
  </si>
  <si>
    <t xml:space="preserve">https://ec.europa.eu/clima/policies/ets/monitoring_en#tab-0-1 </t>
  </si>
  <si>
    <t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t>
  </si>
  <si>
    <t>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t>
  </si>
  <si>
    <t>If you are not on this list, you may still be subject to EU ETS or CORSIA reporting to a Member State based on the criteria referred to under point III(4) above.</t>
  </si>
  <si>
    <t>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t>
  </si>
  <si>
    <t>CORSIA Website:</t>
  </si>
  <si>
    <t>Sections added to the EU ETS template related to information required for CORSIA are identified by a light blue frame.</t>
  </si>
  <si>
    <t>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t>
  </si>
  <si>
    <t>Reporting Year and Scope</t>
  </si>
  <si>
    <t>Version number of this emission report:</t>
  </si>
  <si>
    <t>This should be a natural number (starting from 1) helping the verifier and competent authority to identify the version of the report verified.</t>
  </si>
  <si>
    <t>Language in which this report is filled:</t>
  </si>
  <si>
    <t>For performing automated checks on the data reported, it is important that the complete report is filled consistently in one language (which may deviate from the template's language). Please confirm here the language in which you have filled the report.</t>
  </si>
  <si>
    <t>Has the Art. 28a(6) derogation been used?</t>
  </si>
  <si>
    <t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</si>
  <si>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t>
  </si>
  <si>
    <t>Scope: EU ETS and/or CORSIA:</t>
  </si>
  <si>
    <t>Note: If this section is kept empty, it is automatically assumed that this report is filled for EU ETS only.</t>
  </si>
  <si>
    <t xml:space="preserve">If you have an obligation under CORSIA to the same country as under the EU ETS, you should fill in the sections of this template which are marked as relating to ICAO's market based mechanism CORSIA (indicated by a light blue frame). </t>
  </si>
  <si>
    <t>In line with paragraph 1.2 of the CORSIA SARPs, the aircraft operator is attributed to the state according to its ICAO designator, if applicable, or to the state that issued the AOC, or the place of juridical registration.</t>
  </si>
  <si>
    <t>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t>
  </si>
  <si>
    <t>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t>
  </si>
  <si>
    <t>Please confirm if you want to use this emission report for CORSIA:</t>
  </si>
  <si>
    <t>Are you required to comply with CORSIA in another state?</t>
  </si>
  <si>
    <t>Please confirm to which other state you will report under CORSIA:</t>
  </si>
  <si>
    <t>Some aircraft operators have an obligation under CORSIA only, i.e. no obligation under the EU ETS. If you are filling this emissions report for CORSIA purposes only, please confirm below that this is the case.</t>
  </si>
  <si>
    <t>Please confirm if you have an obligation under the EU ETS:</t>
  </si>
  <si>
    <t>This identifier can be found on the list published by the Commission pursuant to Article 18a(3) of the EU ETS Directive. If the aircraft operator is not yet listed, please state "NA" (not applicable).</t>
  </si>
  <si>
    <t>This identifier can be found on the list published by the Commission pursuant to Article 18a(3) of the EU ETS Directive.If the aircraft operator is not yet listed, please state "NA" (not applicable).</t>
  </si>
  <si>
    <t>The name of the aircraft operator on the list pursuant to Article 18a(3) of the EU ETS Directive may be different to the actual aircraft operator's name entered in 2(a) above. Keep empty, if not applicable.</t>
  </si>
  <si>
    <t>The name of the aircraft operator on the list pursuant to Article 18a(3) of the EU ETS Directive may be different to the actual aircraft operator's name entered in 2(a) above.Keep empty, if not applicable.</t>
  </si>
  <si>
    <t>If you don't find the appropriate name of the issueing authority in the drop-down list, you can enter ist name like in a normal text field.</t>
  </si>
  <si>
    <t>Legal representative of the aircraft operator</t>
  </si>
  <si>
    <t>Please provide contact information of a representative who is legally responsible for the aircraft operator, for the purpose of compliance with the EU ETS, or CORSIA rules, as applicable.</t>
  </si>
  <si>
    <t>Where small emitters make use of this simplification, this section can be left empty.</t>
  </si>
  <si>
    <t>Contact person for the accredited verifier:</t>
  </si>
  <si>
    <t>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t>
  </si>
  <si>
    <t>Further information on alternative fuels:</t>
  </si>
  <si>
    <t>Please provide important information related to the biomass content of alternative fuels used here. Life cycle emissions should be calculated according to the methods provided by the Renewable Energy Directive (RED).</t>
  </si>
  <si>
    <t>Note that here only biofuels used for EU ETS purposes are to be listed. "CORSIA eligible fuels", if applicable, are to be reported in section (12)(b1) of this template.</t>
  </si>
  <si>
    <t>Feedstock</t>
  </si>
  <si>
    <t>Conversion process</t>
  </si>
  <si>
    <t>Life cycle emissions</t>
  </si>
  <si>
    <t>Please specify which fuel consumption estimation tool you have used:</t>
  </si>
  <si>
    <t>If you have chosen "Other" under point (e) above, which one?</t>
  </si>
  <si>
    <t>If you use this report for CORSIA purposes, please confirm here if you are using an applicable emission estimation tool:</t>
  </si>
  <si>
    <t>An emission estimation tool was used for all emissions under CORSIA:</t>
  </si>
  <si>
    <t>An emission estimation tool was used only for emissions without offsetting requirements:</t>
  </si>
  <si>
    <t>Note: please check with the emissions entered in Sheet "CORSIA emissions" whether the thresholds for eligibility for use of an emission estimation tool are met.</t>
  </si>
  <si>
    <t>The following rules for selecting methodologies apply:</t>
  </si>
  <si>
    <t xml:space="preserve">For the reporting years 2019 and 2020 (in accordance with Annex 16, Volume IV, Part II, Chapter 2, 2.2.1.2) </t>
  </si>
  <si>
    <t>a Fuel Use Monitoring Method is mandatory for aeroplane operators with annual emissions equal to or above 500 000 tonnes of CO2 from international flights, as defined in Annex 16, Volume IV, Part II, Chapter 1, 1.1.2 and Chapter 2, 2.1.</t>
  </si>
  <si>
    <t>an aeroplane operator with annual CO2 emissions from international flights, as defined in Annex 16, Volume IV, Part II, Chapter 1, 1.1.2 and Chapter 2, 2.1 of less than 500 000 tonnes, shall use either a Fuel Use Monitoring Method or an emission estimation tool.</t>
  </si>
  <si>
    <t xml:space="preserve">For the reporting years 2021 until 2035  (in accordance with Annex 16, Volume IV, Part II, Chapter 2, 2.2.1.3) </t>
  </si>
  <si>
    <t>a Fuel Use Monitoring Method is mandatory for aeroplane operators with annual emissions equal to or above 50 000 tonnes of CO2 from international flights subject to offsetting requirements, as defined in Annex 16, Volume IV, Part II, Chapter 1, 1.1.2, and Chapter 3, 3.1. For international flights not subject to offsetting requirements, the aeroplane operator shall use either a Fuel Use Monitoring Method or an emission estimation tool.</t>
  </si>
  <si>
    <t>an aeroplane operator with annual emissions from international flights subject to offsetting requirements, as defined in Annex 16, Volume IV, Part II, Chapter 1, 1.1.2, and Chapter 3, 3.1, of less than 50 000 tonnes, shall use either a Fuel Use Monitoring Method or an emission estimation tool.</t>
  </si>
  <si>
    <t>Please give here the amount of emissions which are affected by the data gap. This figure must be INCLUDED in section 5 and/or section 12 depending on the type.</t>
  </si>
  <si>
    <t>If required, you may add further rows above the "end" markers by inserting rows above this one. This is best done by inserting a copied row.</t>
  </si>
  <si>
    <t>Percentage of EU ETS flights for which data gaps occurred (rounded to nearest 0.1%)</t>
  </si>
  <si>
    <t>Percentage of international (CORSIA) flights for which data gaps occurred (rounded to nearest 0.1%)</t>
  </si>
  <si>
    <t>Note: If unclear in the table above, whether data gaps apply to EU ETS, CORSIA, or both types of data, please add relevant information in the table, e.g. by specifying it in the "type" column.</t>
  </si>
  <si>
    <t>EMISSION DATA PER COUNTRY AND FUEL – EU ETS</t>
  </si>
  <si>
    <t>Please complete the following table with the appropriate data for the reporting year. Note that the emission factors presented in section 5(b) MUST BE USED for calculating these emissions.</t>
  </si>
  <si>
    <t>Provide details for each aircraft used during the year covered by this report for which you are the aircraft operator.</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</si>
  <si>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and/or for flights falling under CORSIA (if applicable). </t>
  </si>
  <si>
    <t>Please indicate also which fuel is used by the aircraft type by indicating "True" in the appropriate column(s). If you have listed alternative fuels in section 5(b), please select the appropriate fuel in the column "other".</t>
  </si>
  <si>
    <t>Fuel used</t>
  </si>
  <si>
    <t>used for EU ETS</t>
  </si>
  <si>
    <t>used for CORSIA (if applicable)</t>
  </si>
  <si>
    <t>other</t>
  </si>
  <si>
    <t>Please continue by adding further rows as needed (above the "end" markers). This must be done by copying an empty row and inserting it thereafter. A simple "insert row" command will NOT be sufficent.</t>
  </si>
  <si>
    <t>Additional emissions data – EU ETS</t>
  </si>
  <si>
    <t>(12) CORSIA REPORTING</t>
  </si>
  <si>
    <t>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t>
  </si>
  <si>
    <t>You can select here either to use the default emission factors required by EU ETS legislation, or the default values provided by the SARPs for CORSIA:</t>
  </si>
  <si>
    <t>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t>
  </si>
  <si>
    <t>Explanation for the data below: Please complete the list underneath. All aerodrome pairs that were operated during the reporting year have to be reported.</t>
  </si>
  <si>
    <t>Note I: Please report both directions between aerodrome pairs if applicable (A-B and B-A).</t>
  </si>
  <si>
    <t>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t>
  </si>
  <si>
    <t>Note III: Please also complete the CORSIA eligible fuels supplementary information to the Emissions Report, if CORSIA eligible fuels were used during the reporting period.</t>
  </si>
  <si>
    <t>Summary of reported international flights and emissions</t>
  </si>
  <si>
    <r>
      <t>Total CO</t>
    </r>
    <r>
      <rPr>
        <vertAlign val="subscript"/>
        <sz val="10"/>
        <rFont val="Arial"/>
        <family val="2"/>
      </rPr>
      <t>2</t>
    </r>
    <r>
      <rPr>
        <sz val="10"/>
        <rFont val="Arial"/>
        <family val="2"/>
      </rPr>
      <t xml:space="preserve"> emissions from international flights (in tonnes):</t>
    </r>
  </si>
  <si>
    <r>
      <t>Total CO</t>
    </r>
    <r>
      <rPr>
        <vertAlign val="subscript"/>
        <sz val="10"/>
        <color theme="0" tint="-0.34998626667073579"/>
        <rFont val="Arial"/>
        <family val="2"/>
      </rPr>
      <t>2</t>
    </r>
    <r>
      <rPr>
        <sz val="10"/>
        <color theme="0" tint="-0.34998626667073579"/>
        <rFont val="Arial"/>
        <family val="2"/>
      </rPr>
      <t xml:space="preserve"> emissions from international flights (in tonnes):</t>
    </r>
  </si>
  <si>
    <r>
      <t xml:space="preserve">   Total CO</t>
    </r>
    <r>
      <rPr>
        <vertAlign val="subscript"/>
        <sz val="10"/>
        <rFont val="Arial"/>
        <family val="2"/>
      </rPr>
      <t>2</t>
    </r>
    <r>
      <rPr>
        <sz val="10"/>
        <rFont val="Arial"/>
        <family val="2"/>
      </rPr>
      <t xml:space="preserve"> emissions from flights subject to offsetting requirements (in tonnes):</t>
    </r>
  </si>
  <si>
    <r>
      <t xml:space="preserve">   Total CO</t>
    </r>
    <r>
      <rPr>
        <vertAlign val="subscript"/>
        <sz val="10"/>
        <color theme="0" tint="-0.34998626667073579"/>
        <rFont val="Arial"/>
        <family val="2"/>
      </rPr>
      <t>2</t>
    </r>
    <r>
      <rPr>
        <sz val="10"/>
        <color theme="0" tint="-0.34998626667073579"/>
        <rFont val="Arial"/>
        <family val="2"/>
      </rPr>
      <t xml:space="preserve"> emissions from flights subject to offsetting requirements (in tonnes):</t>
    </r>
  </si>
  <si>
    <t>Total number of international flights during reporting period:</t>
  </si>
  <si>
    <t xml:space="preserve">   Total number of international flights subject to offsetting requirements:</t>
  </si>
  <si>
    <t>Total emissions reductions claimed from the use of CORSIA eligible fuels (in tonnes):</t>
  </si>
  <si>
    <t>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t>
  </si>
  <si>
    <t>Summary of fuel quantities (in tonnes):</t>
  </si>
  <si>
    <t>CORSIA eligible fuels claimed (only applicable from reporting year 2021 onwards)</t>
  </si>
  <si>
    <t>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t>
  </si>
  <si>
    <t>Total mass of the neat CORSIA eligible fuel (in tonnes)</t>
  </si>
  <si>
    <t>Life Cycle Emissions</t>
  </si>
  <si>
    <t>Emission reductions claimed</t>
  </si>
  <si>
    <t>Unit</t>
  </si>
  <si>
    <t>Total emission reductions from the use of CORSIA eligible fuel(s) claimed:</t>
  </si>
  <si>
    <t>Table of all aerodrome pairs</t>
  </si>
  <si>
    <t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t>
  </si>
  <si>
    <t>https://www.icao.int/environmental-protection/CORSIA/Pages/state-pairs.aspx</t>
  </si>
  <si>
    <t>Departure</t>
  </si>
  <si>
    <t>Arrival</t>
  </si>
  <si>
    <r>
      <t>CO</t>
    </r>
    <r>
      <rPr>
        <vertAlign val="subscript"/>
        <sz val="10"/>
        <rFont val="Arial"/>
        <family val="2"/>
      </rPr>
      <t>2</t>
    </r>
    <r>
      <rPr>
        <sz val="10"/>
        <rFont val="Arial"/>
        <family val="2"/>
      </rPr>
      <t xml:space="preserve"> emissions estimated with a tool?</t>
    </r>
  </si>
  <si>
    <r>
      <t>CO</t>
    </r>
    <r>
      <rPr>
        <vertAlign val="subscript"/>
        <sz val="10"/>
        <color theme="0" tint="-0.34998626667073579"/>
        <rFont val="Arial"/>
        <family val="2"/>
      </rPr>
      <t>2</t>
    </r>
    <r>
      <rPr>
        <sz val="10"/>
        <color theme="0" tint="-0.34998626667073579"/>
        <rFont val="Arial"/>
        <family val="2"/>
      </rPr>
      <t xml:space="preserve"> emissions estimated with a tool?</t>
    </r>
  </si>
  <si>
    <t>Total No. of flights</t>
  </si>
  <si>
    <t>Total amount of fuel used (in tonnes)</t>
  </si>
  <si>
    <t>Fuel conversion factors</t>
  </si>
  <si>
    <r>
      <t>CO</t>
    </r>
    <r>
      <rPr>
        <vertAlign val="subscript"/>
        <sz val="10"/>
        <rFont val="Arial"/>
        <family val="2"/>
      </rPr>
      <t>2</t>
    </r>
    <r>
      <rPr>
        <sz val="10"/>
        <rFont val="Arial"/>
        <family val="2"/>
      </rPr>
      <t xml:space="preserve"> emissions (in tonnes)</t>
    </r>
  </si>
  <si>
    <r>
      <t>CO</t>
    </r>
    <r>
      <rPr>
        <vertAlign val="subscript"/>
        <sz val="10"/>
        <color theme="0" tint="-0.34998626667073579"/>
        <rFont val="Arial"/>
        <family val="2"/>
      </rPr>
      <t>2</t>
    </r>
    <r>
      <rPr>
        <sz val="10"/>
        <color theme="0" tint="-0.34998626667073579"/>
        <rFont val="Arial"/>
        <family val="2"/>
      </rPr>
      <t xml:space="preserve"> emissions (in tonnes)</t>
    </r>
  </si>
  <si>
    <t>Subject to offsetting requirements?</t>
  </si>
  <si>
    <t>ICAO airport code</t>
  </si>
  <si>
    <t>State</t>
  </si>
  <si>
    <t>North Macedonia</t>
  </si>
  <si>
    <t>Small Emitters Tool (SET) - Eurocontrol's fuel consumption estimation tool</t>
  </si>
  <si>
    <t>ESF (Eurocontrol EU ETS Support Facility) populated by the SET</t>
  </si>
  <si>
    <t>Kazakhstan - Civil Aviation Committee</t>
  </si>
  <si>
    <t>Malta - Transport Malta - Civil Aviation Directorate</t>
  </si>
  <si>
    <t>CORSIA</t>
  </si>
  <si>
    <t>Bulgarian</t>
  </si>
  <si>
    <t>Spanish</t>
  </si>
  <si>
    <t>Croatian</t>
  </si>
  <si>
    <t>Czech</t>
  </si>
  <si>
    <t>Danish</t>
  </si>
  <si>
    <t>German</t>
  </si>
  <si>
    <t>Estonian</t>
  </si>
  <si>
    <t>Greek</t>
  </si>
  <si>
    <t>English</t>
  </si>
  <si>
    <t>French</t>
  </si>
  <si>
    <t>Icelandic</t>
  </si>
  <si>
    <t>Italian</t>
  </si>
  <si>
    <t>Latvian</t>
  </si>
  <si>
    <t>Lithuanian</t>
  </si>
  <si>
    <t>Hungarian</t>
  </si>
  <si>
    <t>Maltese</t>
  </si>
  <si>
    <t>Norwegian</t>
  </si>
  <si>
    <t>Dutch</t>
  </si>
  <si>
    <t>Polish</t>
  </si>
  <si>
    <t>Portuguese</t>
  </si>
  <si>
    <t>Romanian</t>
  </si>
  <si>
    <t>Slovak</t>
  </si>
  <si>
    <t>Slovenian</t>
  </si>
  <si>
    <t>Finnish</t>
  </si>
  <si>
    <t>Swedish</t>
  </si>
  <si>
    <t>Final Draft for endorsement by the CCC</t>
  </si>
  <si>
    <t>This is the final version of the annual emission report template endorsed by the Climate Change Committee by written procedure ending in January 2020.</t>
  </si>
  <si>
    <t>This option is only relevant for emissions taking place from 2021 onwards.</t>
  </si>
  <si>
    <t>ICAO Member State List</t>
  </si>
  <si>
    <t>Bolivia (Plurinational State of)</t>
  </si>
  <si>
    <t>Cabo Verde</t>
  </si>
  <si>
    <t>Democratic People's Republic of Korea</t>
  </si>
  <si>
    <t>Democratic Republic of the Congo</t>
  </si>
  <si>
    <t>Eswatini</t>
  </si>
  <si>
    <t>Iran (Islamic Republic of)</t>
  </si>
  <si>
    <t>Micronesia (Federated States of)</t>
  </si>
  <si>
    <t>Republic of Korea</t>
  </si>
  <si>
    <t>Republic of Moldova</t>
  </si>
  <si>
    <t>United Republic of Tanzania</t>
  </si>
  <si>
    <t>Venezuela (Bolivarian Republic of)</t>
  </si>
  <si>
    <t>New 2020</t>
  </si>
  <si>
    <t>Used for combined reporting under the EU ETS, the Swiss ETS and ICAO CORSIA</t>
  </si>
  <si>
    <t>Detailed emissions data – CH ETS</t>
  </si>
  <si>
    <t>Annex: Emissions per aerodrome pair – EU ETS and CH ETS</t>
  </si>
  <si>
    <t>Total emissions of the aircraft operator from flights reportable under the CH ETS (Swiss ETS):</t>
  </si>
  <si>
    <t>This is the amount of allowances to be surrendered by the aircraft operator for compliance under the CH ETS, as calculated in section 5(d).</t>
  </si>
  <si>
    <t>Linking between the EU ETS and the Swiss ETS (CH ETS)</t>
  </si>
  <si>
    <t>The EU and Switzerland have concluded an agreement on linking their respective greenhouse gas emission trading systems. The agreement, which can be found under the following internet link, has entered into force on 1 January 2020.</t>
  </si>
  <si>
    <t>https://eur-lex.europa.eu/legal-content/EN/TXT/?uri=CELEX:22017A1207(01)</t>
  </si>
  <si>
    <t>Consequently, the EU ETS Directive has been amended to exclude flights arriving in an EEA country from aerodromes in Switzerland. This amendment is already included in the EU ETS Directive's consolidated version mentioned under point 1 above.</t>
  </si>
  <si>
    <t>The excluded flights are covered by the Swiss ETS.</t>
  </si>
  <si>
    <t xml:space="preserve">"One-stop-shop" principle: </t>
  </si>
  <si>
    <t>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t>
  </si>
  <si>
    <t>Information about the Swiss ETS can be obtained from the following address:</t>
  </si>
  <si>
    <t xml:space="preserve">https://www.bafu.admin.ch/bafu/en/home/topics/climate/info-specialists/climate-policy/emissions-trading/informationen-fuer-luftfahrzeugbetreiber.html </t>
  </si>
  <si>
    <t>Note that for the purposes of the EU ETS, the threshold applies to the sum of all flights within EEA, outgoing from EEA and incoming to EEA, including those incoming from Switzerland.</t>
  </si>
  <si>
    <t>This is the final version, dated 18 November 2020, providing an update of the final version of the annual emission report template endorsed by the Climate Change Committee by written procedure ending in January 2020 (with a correction of July 2021).</t>
  </si>
  <si>
    <t>Sections added to this template related to information required for the CH ETS are identified by a light red frame.</t>
  </si>
  <si>
    <t>Sections that are particularly relevant for both, EU ETS and CH ETS, are marked by red shading.</t>
  </si>
  <si>
    <t>Note: it is assumed, that one joint monitoring plan for the EU ETS, the CH ETS and CORSIA is used.</t>
  </si>
  <si>
    <t>Total emissions in EU ETS and CH ETS</t>
  </si>
  <si>
    <t>For limiting administrative burden, this sections (a) and (b) should cover emissions of both systems, EU ETS and CH ETS.</t>
  </si>
  <si>
    <t>Total number of flights in the reporting year:</t>
  </si>
  <si>
    <t>Total number of flights in the reporting year covered by the CH ETS:</t>
  </si>
  <si>
    <t>Total number of flights in the reporting year covered by an ETS:</t>
  </si>
  <si>
    <t>Fuel consumption and emissions in the EU ETS</t>
  </si>
  <si>
    <t>Total CO2 emissions (EU ETS) in the reporting year:</t>
  </si>
  <si>
    <t>Fuel consumption and emissions in the CH ETS</t>
  </si>
  <si>
    <t xml:space="preserve">For instructions on filling this section see above under section (c). </t>
  </si>
  <si>
    <t>Total CO2 emissions (CH ETS) in the reporting year:</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</si>
  <si>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t>
  </si>
  <si>
    <t>For limiting administrative burden, this sections (a) to (f) should cover emissions of both systems, EU ETS and CH ETS.</t>
  </si>
  <si>
    <t>For limiting administrative burden, this sections (a) and (b) should cover emissions of both systems, EU ETS and CH ETS. Data gaps relevant for CORSIA can be included, too.</t>
  </si>
  <si>
    <t>Percentage of EU/CH ETS flights for which data gaps occurred (rounded to nearest 0.1%)</t>
  </si>
  <si>
    <t>Note: If unclear in the table above, whether data gaps apply to EU ETS, CH ETS, CORSIA, or more than one data set, please add relevant information in the table, e.g. by specifying it in the "type" column.</t>
  </si>
  <si>
    <t>Hide row for reduced scope</t>
  </si>
  <si>
    <t>Aggregated CO2 emissions from all flights departing from each Member State to another Member State or Switzerland:</t>
  </si>
  <si>
    <t>The following table is used for control purposes only. Please make sure that the totals are consistent with the result of section 5(d). The following sections (b) and (c) should be filled without any double counting of emissions.</t>
  </si>
  <si>
    <t>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</si>
  <si>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Total aggregated CO2 emissions from all flights relating to the scope of the CH ETS 
(= B + C)</t>
  </si>
  <si>
    <t>Swiss domestic flights</t>
  </si>
  <si>
    <t>Flights from Switzerland to EEA countries</t>
  </si>
  <si>
    <t>Total emissions entered in section 5(d):</t>
  </si>
  <si>
    <t>Domestic flights:</t>
  </si>
  <si>
    <t>State of departure and arrival</t>
  </si>
  <si>
    <t>Aggregated CO2 emissions from all flights departing from Switzerland to an EEA Member State:</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</si>
  <si>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t>
  </si>
  <si>
    <t>used for CH ETS</t>
  </si>
  <si>
    <t>Additional emissions data – EU ETS and CH ETS</t>
  </si>
  <si>
    <t>For reducing administrative burden, this Annex should include both flights covered by the EU ETS and CH ETS</t>
  </si>
  <si>
    <t>Energy Agency</t>
  </si>
  <si>
    <t>new 2022</t>
  </si>
  <si>
    <t>http://data.europa.eu/eli/dir/2003/87/2021-01-01</t>
  </si>
  <si>
    <t>The Monitoring and Reporting Regulation (Commission Implementing Regulation (EU) No 2018/2066, as amended, hereinafter the "MRR"), defines further requirements for monitoring and reporting. The MRR can be downloaded from:</t>
  </si>
  <si>
    <t>http://data.europa.eu/eli/reg_impl/2018/2066/2022-01-01</t>
  </si>
  <si>
    <t>Brexit and the UK ETS</t>
  </si>
  <si>
    <t>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t>
  </si>
  <si>
    <t>Flights from the EEA to the UK are included in the EU ETS. Flights from the UK to the EEA and domestic flights in the UK are included in the UK ETS.</t>
  </si>
  <si>
    <t>The Trade and Cooperation Agreement between the EU and the UK can be downloaded here:</t>
  </si>
  <si>
    <t>https://ec.europa.eu/info/strategy/relations-non-eu-countries/relations-united-kingdom/eu-uk-trade-and-cooperation-agreement_en</t>
  </si>
  <si>
    <t>Information about the UK ETS can be obtained from the following address:</t>
  </si>
  <si>
    <t>https://www.gov.uk/guidance/complying-with-the-uk-ets-as-an-aircraft-operator</t>
  </si>
  <si>
    <t>https://ec.europa.eu/clima/system/files/2022-01/gd2_guidance_aircraft_en.pdf</t>
  </si>
  <si>
    <t>Article 68(3) of the MRR requires:</t>
  </si>
  <si>
    <t>This is the final version, dated 18 November 2020, providing an update of the final version of the annual emission report template endorsed by the Climate Change Committee by written procedure ending in January 2020 (with corrections of July 2021 and February 2022).</t>
  </si>
  <si>
    <t>This is the final version, dated 18 November 2020, providing an update of the final version of the annual emission report template endorsed by the Climate Change Committee by written procedure ending in January 2020 (with corrections of July 2021 and January 2022).</t>
  </si>
  <si>
    <t>https://ec.europa.eu/clima/eu-action/eu-emissions-trading-system-eu-ets/monitoring-reporting-and-verification-eu-ets-emissions_en</t>
  </si>
  <si>
    <t>Accordingly, all references to Member States in this template should be interpreted as including all 30 EEA States. The EEA comprises the 27 EU Member States, Iceland, Liechtenstein and Norway.</t>
  </si>
  <si>
    <t>https://ec.europa.eu/clima/eu-action/eu-emissions-trading-system-eu-ets_en</t>
  </si>
  <si>
    <t>https://ec.europa.eu/clima/eu-action/transport-emissions/reducing-emissions-aviation_en</t>
  </si>
  <si>
    <t>of which all other intra EEA flights, and flights from EEA to Switzerland or UK</t>
  </si>
  <si>
    <t>emissions from all flights departing from a Member State to another Member State, Switzerland or UK (=sum of section 8(c))</t>
  </si>
  <si>
    <t>Note that for the purposes of the EU ETS, the threshold applies to the sum of all flights within EEA, outgoing from EEA and incoming to EEA, including those incoming from Switzerland and the UK.</t>
  </si>
  <si>
    <t>Aggregated CO2 emissions from all flights departing from each Member State to another Member State, to Switzerland, or to the UK</t>
  </si>
  <si>
    <t>Note: If you are using the simplified approach for small emitters, but have exceeded the applicable threshold (which is indicated here by the message "not eligible"), the following consequences apply in accordance with Article 55(4) of the MRR:</t>
  </si>
  <si>
    <t>Updated version 2022</t>
  </si>
  <si>
    <t>New 2023</t>
  </si>
  <si>
    <t>http://data.europa.eu/eli/dir/2003/87/2023-06-05</t>
  </si>
  <si>
    <t>http://data.europa.eu/eli/reg_impl/2018/2066/2022-08-28</t>
  </si>
  <si>
    <t>Türkiye</t>
  </si>
  <si>
    <t>Türkiye - Directorate General of Civil Aviation</t>
  </si>
  <si>
    <t>https://climate.ec.europa.eu/system/files/2023-05/gd2_guidance_aircraft_en.pdf</t>
  </si>
  <si>
    <t>http://data.europa.eu/eli/reg_impl/2023/2122/oj</t>
  </si>
  <si>
    <t>Updated version for emissions of 2023 (Version of 11 March 2024)</t>
  </si>
  <si>
    <t>2023 Emissions for calculation of free allocation in 2024 and 2025</t>
  </si>
  <si>
    <t>Directive 2003/87/EC (the "EU ETS Directive") requires aircraft operators who are included in the EU Emission Trading System (the EU ETS) to monitor and report their emissions,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</si>
  <si>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This template also reflects the latest amendments of the MRR by Commission Implementing Regulation (EU) 2023/2122 of 12 October 2023:</t>
  </si>
  <si>
    <t>As has been mentioned above under point (I), CORSIA is implemented in the EU through the EU ETS Directive, the implementing act pursuent to Article 28c of the Directive, and the MRR. Furthermore, rules of the Accreditation and Verification Regulation (Commission Implementing Regulation (EU) 2018/2067, hereinafter the "AVR") apply.</t>
  </si>
  <si>
    <t>However, general information on CORSIA are available on ICAO's website:</t>
  </si>
  <si>
    <t>This template is the only template that should be used by aircraft operators for reporting their annual emissions, in line with the MRR and the AVR.</t>
  </si>
  <si>
    <t>Aircraft operators are required to comply with the EU ETS if they carry out aviation activities as included in Annex I to the EU ETS Directive. However, until December 2026, pending a review by EU legislators, the so-called "reduced scope" is applicable. Furthermore the following aircraft operators are excluded:</t>
  </si>
  <si>
    <t>Commercial air transport operators, operating either fewer than 243 flights per period for three consecutive four-month periods, or operating flights with total annual emissions lower than 10 000 tonnes per year under the "extended full scope".</t>
  </si>
  <si>
    <t>Non-commercial air transport operators which emit less than 1 000 t CO2 per year under the "extended full scope" of the EU ETS.</t>
  </si>
  <si>
    <t xml:space="preserve">Scope changes from 2023: </t>
  </si>
  <si>
    <t>From 2023, flights from Switzerland to the UK are included in the CH ETS. Section 8b of this template has been updated accordingly.</t>
  </si>
  <si>
    <t xml:space="preserve">Scope changes from 2024: </t>
  </si>
  <si>
    <t>From 2024, the scope of the EU ETS is changed as given below. Free allocation for the years 2024 and 2025 will be based on 2023 verified emissions from flights covered by the EU ETS geographical scope from 1 January 2024. Emissions from the additional flights in the year 2023 need to be reported by aircraft operators to allow for the calculation of the free allocation.</t>
  </si>
  <si>
    <t>This reporting is voluntary. In case the additional flights are not reported by the aircarft operator the Commission will seek the assistance of Eurocontrol in determining the total emissions. (see section 11a)</t>
  </si>
  <si>
    <t>All flights between an aerodrome located in an outermost region and an aerodrome located in another region of the EEA, and flights departing from an aerodrome located in an outermost region and arriving in Switzerland or the United Kingdom will be included from 2024.</t>
  </si>
  <si>
    <t>Until 2030, all flights between an aerodrome located in an outermost region of a Member State and an aerodrome located in the same Member State, including another aerodrome located in the same outermost region or in another outermost region of the same Member State will be excluded.</t>
  </si>
  <si>
    <t>Aircraft operators have obligations of "CORSIA reporting" to a Member State if they fall within the scope of Article 1 of the Delegated Act (Commisison Delegated Regulation (EU) 2019/1603),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t>
  </si>
  <si>
    <t>The annual emission reports reports shall at least contain the information listed in Annex X.</t>
  </si>
  <si>
    <t>Member States may require the operator and aircraft operator to use electronic templates or specific file formats for submission of monitoring plans and changes to the monitoring plan, as well as for submission of annual emissions reports, verification reports and improvement reports.
Those templates or file format specifications established by the Member States shall, at least, contain the information contained in electronic templates or file format specifications published by the Commission.</t>
  </si>
  <si>
    <t>This is the final version, dated 18 November 2020, providing an update of the final version of the annual emission report template endorsed by the Climate Change Committee by written procedure ending in January 2020 (with corrections of July 2021, February 2022 and December 2023).</t>
  </si>
  <si>
    <t xml:space="preserve">The EU ETS for aviation has been expanded to cover the three EEA EFTA States Iceland, Liechtenstein and Norway. This means that aircraft operators also need to monitor and report their emissions from domestic flights within the EEA EFTA States, flights between the EEA EFTA States and flights between EEA EFTA States and third countries (where full scope is required).
</t>
  </si>
  <si>
    <t>Has the Art. 28a(4) derogation been used?</t>
  </si>
  <si>
    <t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</si>
  <si>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In accordance with Article 1 of Regulation 2019/1603 ('CORSIA Delegated Act'), you have an obligation to report CORSIA data, if you hold an air operator certificate issued by a Member State or are registered in a Member State, including in the outermost regions, dependencies and territories of that Member State. Article 5 of that act specifies which is the administering Member State.</t>
  </si>
  <si>
    <t>Note that pursuant to Article 55(2) of the "AVR" (Accreditation and Verification Regulation; Commission Implementing Regulation (EU) 2018/2067), a Member State may choose to entrust certification of natural persons as verifiers to a national authority other than the national accreditation body.</t>
  </si>
  <si>
    <t>In accordance with Article 66(2) of the MRR data gaps must be closed by a method defined in the monitoring plan, or if this is not possible, by using a tool which may be used for the small emitters approach.</t>
  </si>
  <si>
    <t>Flights from Switzerland to EEA countries or to the UK</t>
  </si>
  <si>
    <t>Aggregated CO2 emissions from all flights departing from Switzerland to an EEA Member State or to the UK:</t>
  </si>
  <si>
    <t>This annex to the annual emissions report is used for consistency and compliance checking of data in the previous sections.</t>
  </si>
  <si>
    <t>In addition, from 2023, Article 14(6) of the EU ETS Directive requires the Commission to publish annually aggregated emissions related data from aviation activities reported to Member States in accoradance with the MRR. The data in this report and its Annexes will be used for this purpose.</t>
  </si>
  <si>
    <t>That article also specifies that in particular situations aircraft operators may request that some data are treated as confidential, i.e. that the publication of data is done at a higher aggregated level. For such request, the Directive specifies:</t>
  </si>
  <si>
    <t>"[...]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t>
  </si>
  <si>
    <t>Please provide a comprehensive and detailed explanation why disclosure of data would be considered to harm your commercial interests:</t>
  </si>
  <si>
    <t>Note that the request will be granted only if both the administering Member State and the Commission deem the reasons for not publishing data satisfactory.</t>
  </si>
  <si>
    <t>In case the space above under point (a1) is not sufficient for explaining your reasons, you may attach a comprehensive explanation in a separate file. In this case, please enter here the filename of the attached file:</t>
  </si>
  <si>
    <t>Filename of attachment, if applicable:</t>
  </si>
  <si>
    <t>Annex: Emissions reporting - only 2023</t>
  </si>
  <si>
    <t>The EU ETS Directive as amended by Directive (EU) 2023/958, provides for free allocation to aircraft operators in the years 2024 and 2025. The free allowances will be allocated to aircarft operators proportionately to their share of verified emissions from aviation activities reported for 2023. That calculation shall take into account verified emissions from aviation activities reported in respect of flights that are covered by the EU ETS from 1 January 2024.</t>
  </si>
  <si>
    <t>This Annex shall be used to report the total 2023 emissions in respect of flights that are covered by the EU ETS from 1 January 2024 in order to allow for the calulation of free allocations for 2024 and 2025.</t>
  </si>
  <si>
    <t>This reporting is voluntary. If you do not report the required data, the Competent Authority will substitute the data missing with estimated data from Eurocontrol.</t>
  </si>
  <si>
    <t>Which emissions should be reported here?</t>
  </si>
  <si>
    <t>Total emissions reported in section (5)(c) (i.e. the total emissions 2023 for which allowances need to be surrendered) minus emissions from flights covered in 2023 but exempted in 2024 and 2025 plus emissions from flights not covered in 2023 but covered in 2024 and onwards.</t>
  </si>
  <si>
    <t>Note that no allowances have to be surrendered in relation to this Annex.</t>
  </si>
  <si>
    <t>Confidentiality of data in this Annex:</t>
  </si>
  <si>
    <t>It is assumed that your inputs in section (11)(a) also apply to this section.</t>
  </si>
  <si>
    <t>Click here to check content of section (11)(a)</t>
  </si>
  <si>
    <t>Total 2023 Emissions for calculation of free allocation in 2024 and 2025:</t>
  </si>
  <si>
    <t>t CO2 / year</t>
  </si>
  <si>
    <t>Total emissions reported in section (5)(c)</t>
  </si>
  <si>
    <t>Emissions from flights covered in 2023 but exempted in 2024 and 2025</t>
  </si>
  <si>
    <t>Emissions from flights not covered in 2023 but covered in 2024 and onwards</t>
  </si>
  <si>
    <t>Total</t>
  </si>
  <si>
    <t>The flights covered in 2023 but exempted in 2024 and 2025 (exemption in place from 2024 to 2030) are: Flights between an aerodrome located in an outermost region of a Member State and another aerodrome located in the same outermost region.</t>
  </si>
  <si>
    <t>The data is already reported in section (11). Please enter here the aggregated total emissions stemming from these flights.</t>
  </si>
  <si>
    <t>Total CO2 emissions from flights covered in 2023 but exempted in 2024 and 2025</t>
  </si>
  <si>
    <t>The flights not covered in 2023 but covered from 2024 onwards are: Flights between an aerodrome located in an outermost region and an aerodrome located in another region of the EEA, and flights departing from an aerodrome located in an outermost region and arriving in Switzerland or the United Kingdom.</t>
  </si>
  <si>
    <t>You can select here either to use the default emission factors required by EU ETS legislation, or the default values necessary for CORSIA as referenced in Article 7 of the CORSIA delegated act.</t>
  </si>
  <si>
    <t>For emissions from 2024 onwards, the same emission factor as under CORSIA will also be applicable in the EU ETS.</t>
  </si>
  <si>
    <t>Note II: If you used different type of fuels on the same aerodrome pair with different fuel conversion factors, you need to create an identical aerodrome pair and report this portion of fuel separately.</t>
  </si>
  <si>
    <t>Please list all aerodrome pairs on which international flights were performed, whether emissions were estimated using an emission estimation tool, the number of flights, the fuel type and the amount of fuel used.</t>
  </si>
  <si>
    <t>In each reporting year the flights subject to offsetting requirements are the flights between a Member State and States that are listed in the implementing act adopted pursuant to Article 25a(3) as well as flights between these States, and flights between Switzerland or the United Kingdom and these States.</t>
  </si>
  <si>
    <t>Furthermore, flights between EU Overseas Countries and Territories and EEA States may be subject to offsetting requirements at the discretion of each EEA State according to transposition of the EU ETS Directive into national legislation.</t>
  </si>
  <si>
    <t xml:space="preserve">In addition, from 2023, Article 14(6) of the EU ETS Directive requires the Commission to publish annually aggregated data of flights per pair of intra-EEA aerodrome pair, and some other information per aircraft operator.  </t>
  </si>
  <si>
    <t>However, that article also allows aircraft operators to request that some data are treated as confidential, i.e. that the publication of data is done at a higher aggregated level. For such request, the Directive specifies:</t>
  </si>
  <si>
    <t>If you have answered "True" under point c1, do you want to apply the same reasoning as given in section (11)(a)?</t>
  </si>
  <si>
    <t>Please provide a comprehensive explanation why disclosure of data would be considered to harm your commercial interests:</t>
  </si>
  <si>
    <t>Note that the administering Member State or the Commission may decide not to follow your request in case the reasons for not publishing data are not found conclusive.</t>
  </si>
  <si>
    <t>new 2024</t>
  </si>
  <si>
    <t>Info for automatic Version detection</t>
  </si>
  <si>
    <t>Template type:</t>
  </si>
  <si>
    <t>AO Emissions report 2024 EU ETS &amp; CORSIA &amp; Swiss linking</t>
  </si>
  <si>
    <t>Version:</t>
  </si>
  <si>
    <t>Issued by:</t>
  </si>
  <si>
    <t>European Commission</t>
  </si>
  <si>
    <t>Language:</t>
  </si>
  <si>
    <t>Type list:</t>
  </si>
  <si>
    <t>Monitoring plan tonne-kilometre data</t>
  </si>
  <si>
    <t>MP TKM</t>
  </si>
  <si>
    <t>Monitoring plan annual emissions</t>
  </si>
  <si>
    <t>MP AEm</t>
  </si>
  <si>
    <t>Report tonne-kilometre data</t>
  </si>
  <si>
    <t>Report TKM</t>
  </si>
  <si>
    <t>Report annual emissions</t>
  </si>
  <si>
    <t>Report AEm</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</si>
  <si>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</si>
  <si>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</si>
  <si>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</si>
  <si>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</si>
  <si>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</si>
  <si>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</si>
  <si>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</si>
  <si>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</si>
  <si>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</si>
  <si>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</si>
  <si>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</si>
  <si>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</si>
  <si>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Aircraft operators Emissions report EU ETS &amp; CORSIA</t>
  </si>
  <si>
    <t>AER EU ETS &amp; CORSIA</t>
  </si>
  <si>
    <t>Aircraft operators Emissions report EU ETS &amp; CORSIA &amp; Swiss linking</t>
  </si>
  <si>
    <t>AER EU &amp; CH ETS &amp; CORSIA</t>
  </si>
  <si>
    <t>AER AO 2024</t>
  </si>
  <si>
    <t>Version list</t>
  </si>
  <si>
    <t>Reference File Name</t>
  </si>
  <si>
    <t>Version comments</t>
  </si>
  <si>
    <t>P3 Aircraft AER_COM_en_201112.xls</t>
  </si>
  <si>
    <t xml:space="preserve">First draft </t>
  </si>
  <si>
    <t>P3 Aircraft AER_COM_en_250113.xls</t>
  </si>
  <si>
    <t>Second draft</t>
  </si>
  <si>
    <t>P3 Aircraft AER_COM_en_090313.xls</t>
  </si>
  <si>
    <t>final draft to TWG</t>
  </si>
  <si>
    <t>P3 Aircraft AER_COM_en_220313.xls</t>
  </si>
  <si>
    <t>final draft to CCC (Wording on Croatia corrected)</t>
  </si>
  <si>
    <t>P3 Aircraft AER_COM_en_260413.xls</t>
  </si>
  <si>
    <t>endorsed in CCC 18 April 2013; sent to translation</t>
  </si>
  <si>
    <t>P3 Aircraft AER_COM_en_241115.xls</t>
  </si>
  <si>
    <t>proposed for endorsement by CCC</t>
  </si>
  <si>
    <t>P3 Aircraft AER_COM_en_161215.xls</t>
  </si>
  <si>
    <t>re-endorsed by CCC</t>
  </si>
  <si>
    <t>First Draft with CORSIA elements to TWG for discussion</t>
  </si>
  <si>
    <t>2nd Draft with CORSIA elements to TWG for discussion</t>
  </si>
  <si>
    <t>3rd (Final draft) for endorsement by CCC</t>
  </si>
  <si>
    <t>Final endorsed Version including CORSIA</t>
  </si>
  <si>
    <t>1st draft: Update including Swiss linking</t>
  </si>
  <si>
    <t>Final Draft</t>
  </si>
  <si>
    <t>correction avoiding double counting of non-sustainable biomass</t>
  </si>
  <si>
    <t>revision of some texts to reflect Brexit</t>
  </si>
  <si>
    <t>Update for 2023 reporting, incl. Fit-for-55 requirements - DRAFT</t>
  </si>
  <si>
    <t>Final version for reporting 2023 emissions</t>
  </si>
  <si>
    <t>Bug fix (greying out of CORSIA Annex corrected)</t>
  </si>
  <si>
    <t>rounding in section 11a(b) corrected</t>
  </si>
  <si>
    <t>Corrected Sum Formula in section 8b(c)</t>
  </si>
  <si>
    <t>Version for discussion: Integration of 2023 and 2024 MRR updates; eligible fuels</t>
  </si>
  <si>
    <t>COM</t>
  </si>
  <si>
    <t>Umweltbundesamt</t>
  </si>
  <si>
    <t>UBA</t>
  </si>
  <si>
    <t>AT</t>
  </si>
  <si>
    <t>BE</t>
  </si>
  <si>
    <t>BG</t>
  </si>
  <si>
    <t>HR</t>
  </si>
  <si>
    <t>CY</t>
  </si>
  <si>
    <t>CZ</t>
  </si>
  <si>
    <t>DK</t>
  </si>
  <si>
    <t>EE</t>
  </si>
  <si>
    <t>FI</t>
  </si>
  <si>
    <t>FR</t>
  </si>
  <si>
    <t>DE</t>
  </si>
  <si>
    <t>EL</t>
  </si>
  <si>
    <t>HU</t>
  </si>
  <si>
    <t>IC</t>
  </si>
  <si>
    <t>IE</t>
  </si>
  <si>
    <t>IT</t>
  </si>
  <si>
    <t>LV</t>
  </si>
  <si>
    <t>LI</t>
  </si>
  <si>
    <t>LT</t>
  </si>
  <si>
    <t>LU</t>
  </si>
  <si>
    <t>MT</t>
  </si>
  <si>
    <t>NL</t>
  </si>
  <si>
    <t>NO</t>
  </si>
  <si>
    <t>PL</t>
  </si>
  <si>
    <t>PT</t>
  </si>
  <si>
    <t>RO</t>
  </si>
  <si>
    <t>SK</t>
  </si>
  <si>
    <t>SI</t>
  </si>
  <si>
    <t>ES</t>
  </si>
  <si>
    <t>SE</t>
  </si>
  <si>
    <t>UK</t>
  </si>
  <si>
    <t>Languages list</t>
  </si>
  <si>
    <t>bg</t>
  </si>
  <si>
    <t>es</t>
  </si>
  <si>
    <t>hr</t>
  </si>
  <si>
    <t>cs</t>
  </si>
  <si>
    <t>da</t>
  </si>
  <si>
    <t>de</t>
  </si>
  <si>
    <t>et</t>
  </si>
  <si>
    <t>el</t>
  </si>
  <si>
    <t>en</t>
  </si>
  <si>
    <t>fr</t>
  </si>
  <si>
    <t>ic</t>
  </si>
  <si>
    <t>it</t>
  </si>
  <si>
    <t>lv</t>
  </si>
  <si>
    <t>lt</t>
  </si>
  <si>
    <t>hu</t>
  </si>
  <si>
    <t>mt</t>
  </si>
  <si>
    <t>no</t>
  </si>
  <si>
    <t>nl</t>
  </si>
  <si>
    <t>pl</t>
  </si>
  <si>
    <t>pt</t>
  </si>
  <si>
    <t>ro</t>
  </si>
  <si>
    <t>sk</t>
  </si>
  <si>
    <t>sl</t>
  </si>
  <si>
    <t>fi</t>
  </si>
  <si>
    <t>sv</t>
  </si>
  <si>
    <t>Memo-Item: Total emissions based on preliminary emission factors</t>
  </si>
  <si>
    <t>All flights between an aerodrome located in an outermost region and an aerodrome located in another MS of the EEA, and flights departing from an aerodrome located in an outermost region and arriving in Switzerland or the United Kingdom will be included from 2024.</t>
  </si>
  <si>
    <t>In case this act is replaced by a new one, this will be mentioned in Eur-Lex (see link below). In this case, follow the link to the new legislation given on that website.</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</si>
  <si>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CORSIA delegated act" or "the delegated act [pursuant to Article 28c]".</t>
  </si>
  <si>
    <t>GHG savings (RED) [%]</t>
  </si>
  <si>
    <t>deleted</t>
  </si>
  <si>
    <t xml:space="preserve">(h) </t>
  </si>
  <si>
    <t xml:space="preserve">(i) </t>
  </si>
  <si>
    <t>Note: Unlike in earler versions of this template, you have to enter tonnes of neat fuel consumed in this sheet, not emissions!</t>
  </si>
  <si>
    <t>Note: You can add more rows if you have to enter more country pairs, but you cannot enter data for more fuels than defined. If you add additional rows, and/or copy and paste data from another program or worksheet, you have to add the appropriate calculation formulas and check the correctness of existing formulas. It is the full responsibility of the aircraft operator to check the correctness of calculations.</t>
  </si>
  <si>
    <t>Please, provide a description of how you meet the specific circumstances defined as well as a comprehensive and detailed explenation why disclosure of data would be considered to harm your commercial interests.</t>
  </si>
  <si>
    <t>Preliminary emissions factor</t>
  </si>
  <si>
    <t>Updated link</t>
  </si>
  <si>
    <t>There are three possible situations in which you are required to use this template: (1) if you have to comply with the EU ETS and/or CH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</si>
  <si>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For checking the compliance with the relevant thresholds, emissions have to be calculated using the preliminary emission factor, i.e. without any zero-rating of fuels.</t>
  </si>
  <si>
    <t>The EU ETS Directive also provides for a support scheme for the use of certain alternative aviation fuels by allocating allowances for free pursuant to Article 3c(6) of the Directive. Relavant data need to be reported together with the annual emissions.</t>
  </si>
  <si>
    <t>It is also to be used for application for free allowances pursuant to Article 3c(6) of the EU ETS Directive.</t>
  </si>
  <si>
    <t>updated (CH ETS mentioned)</t>
  </si>
  <si>
    <t>legal reference updated</t>
  </si>
  <si>
    <t>2c</t>
  </si>
  <si>
    <t xml:space="preserve">According to the delegated act pursuant to Article 3c(6) of the EU ETS Directive, this template is also to be used for application for the EU ETS support under that Article. </t>
  </si>
  <si>
    <t>Aircraft operators have obligations of "CORSIA reporting" to a Member State if they fall within the scope of sub-paragraphs 3 and 4 of Article 12(6) of the EU ETS Directive,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t>
  </si>
  <si>
    <t xml:space="preserve">If you have an obligation under CORSIA to the same state as under the EU ETS, you should fill in the sections of this template which are marked as relating to ICAO's market based mechanism CORSIA (indicated by a light blue frame). </t>
  </si>
  <si>
    <t>If for CORSIA purposes you are attributed to another state, you have to report the data relevant for CORSIA to that state. Therefore please get in touch with the relevant competent authority of that state for further instructions on the need to deliver an annual emissions report.</t>
  </si>
  <si>
    <t>rows added for completing frame</t>
  </si>
  <si>
    <t>CNTR_simplified_grey</t>
  </si>
  <si>
    <t>As has been mentioned above under point (I), CORSIA is implemented in the EU through the EU ETS Directive, the implementing act pursuant to Article 28c of the Directive, and the MRR. Furthermore, rules of the Accreditation and Verification Regulation (Commission Implementing Regulation (EU) 2018/2067, hereinafter the "AVR") apply.</t>
  </si>
  <si>
    <t>typo corrected</t>
  </si>
  <si>
    <t>For distinguishing the compliance mechanisms of the EU ETS and CORSIA, this template uses the following terminology:</t>
  </si>
  <si>
    <t>-</t>
  </si>
  <si>
    <t>emissions or flights "falling under the EU ETS" means emissions or flights for which allowances have to be surrendered pursuant to Article 12(3) of the EU ETS Directive;</t>
  </si>
  <si>
    <t>format changed</t>
  </si>
  <si>
    <t>Life cycle emissions [t CO2 / t fuel]</t>
  </si>
  <si>
    <t>Please give here the amount of emissions (in tonnes CO2) which are affected by the data gap. This figure must be INCLUDED in section 5 and/or section 12 depending on the type.</t>
  </si>
  <si>
    <t>table made broader</t>
  </si>
  <si>
    <t>removed empty row from drop-down</t>
  </si>
  <si>
    <t>If you have chosen "Other" under point (h) above, which one?</t>
  </si>
  <si>
    <t>Please note:</t>
  </si>
  <si>
    <t>Please provide here the calculation factors needed for describing each fuel's properties for calculating the emissions. Input is required only if you are using other fuels than the standard fuels already defined.</t>
  </si>
  <si>
    <t>Please also provide information about the fuel type of each alternative fuel used. A list of each fuel type, its corresponding short name and a description of the fuel type is provided below. By checking the automatically filled (green) cells, please ensure if you have selected the correct fuel type (e.g.: not all fuel types correspond to zero-rated fuels).</t>
  </si>
  <si>
    <t>Note that only alternative fuels used for EU ETS purposes are to be listed here. "CORSIA eligible fuels", if applicable, are to be reported in section (12)(b1) of this template.</t>
  </si>
  <si>
    <t>CO2 emissions
[t CO2]</t>
  </si>
  <si>
    <t>Here you have to enter the quantity of each fuel used in the reporting year (also referred to as "activity data"). The emissions and the memo-items are calculated automatically using the calculation factors defined under point (b).</t>
  </si>
  <si>
    <t>This is calculated from the preliminary emission factor and the non-zero-rated fraction of the fuel.</t>
  </si>
  <si>
    <t>This is the amount of "fossil" (i.e. non-zero-rated) emissions (including emissions from biofuels, RFNBO/RCF or SLCF for which no evidence for compliance with the sustainability or GHG savings criteria of the RED has been provided). It is identical to the emissions for which allowances are to be surrendered.</t>
  </si>
  <si>
    <t>CO2 from zero-rated biomass</t>
  </si>
  <si>
    <t xml:space="preserve">This figure shows as a memo-item the emissions from zero-rated biomass (i.e. biofuels which comply with the sustainability and GHG savingscriteria of the RED). </t>
  </si>
  <si>
    <t>CO2 from non-zero-rated biomass</t>
  </si>
  <si>
    <t>This figure shows as a memo-item the emissions from non-zero-rated biomass.</t>
  </si>
  <si>
    <t>etc.</t>
  </si>
  <si>
    <t>Further memo-items per fuel relating to RFNBO/RCF and SLCF fractions</t>
  </si>
  <si>
    <t>Emissions
[t CO2]</t>
  </si>
  <si>
    <t>Note: The whole table has been made broader</t>
  </si>
  <si>
    <t>Therefore, some data may now be found in different columns than before.</t>
  </si>
  <si>
    <t>For convenient use of this sheet, if you use fewer fuels than can be defined in section 5, you may hide (not delete!) columns of undefined fuels accordingly.</t>
  </si>
  <si>
    <t xml:space="preserve">Hide row following Brexit </t>
  </si>
  <si>
    <t>Whole Table is broader than before. Text formats adjusted for reading if alternative fuels are hidden.</t>
  </si>
  <si>
    <t>Greying out feature added</t>
  </si>
  <si>
    <t>Entry of use of different fuels removed (simplifacation)</t>
  </si>
  <si>
    <t>Alternatively, 18 columns would have to be added (incl. Greying out feature)</t>
  </si>
  <si>
    <t>Format changed</t>
  </si>
  <si>
    <t>Attention: You have chosen to opt-out from the EU ETS support scheme under Article 3c(6) of the EU ETS Directive. Therefore, you will not be eligible to receive free allocation for the use of eligible aviation fuels, even if reported in this report.</t>
  </si>
  <si>
    <t>You are applying for support for the use of eligible aviation fuels under Article 3c(6) of the EU ETS Directive using the data displayed below.</t>
  </si>
  <si>
    <t>new Annex</t>
  </si>
  <si>
    <t>In accordance with sub-paragraphs 3 and 4 of Article 12(6) of the EU ETS Directive, you have an obligation to report CORSIA data, if you hold an air operator certificate issued by a Member State or are registered in a Member State, including in the outermost regions, dependencies and territories of that Member State. The CORSIA delegated act specifies which is the administering Member State.</t>
  </si>
  <si>
    <t>emissions or flights "falling under CORSIA" means one of the following:</t>
  </si>
  <si>
    <t>emissions or flights with offsetting requirement, i.e. for which the aircraft operator shall cancel units pursuant to Article 12(9) of the EU ETS Directive;</t>
  </si>
  <si>
    <t>flights with CORSIA MRV obligation: Emissions or flights for which the aircraft operator shall monitor and report emissions in accordance with the CORSIA Delegated Act.</t>
  </si>
  <si>
    <t>--</t>
  </si>
  <si>
    <t>CNTR_FuelSelectionInclStd</t>
  </si>
  <si>
    <t>Fuel name as defined in section 5</t>
  </si>
  <si>
    <t>Fuel consumed [tonnes]</t>
  </si>
  <si>
    <t>CNTR_FuelListNamesInclStd</t>
  </si>
  <si>
    <t>Total fuels consumed [tonnes]</t>
  </si>
  <si>
    <t>The addition of further rows must be done by copying an empty row and inserting it thereafter. A simple "insert row" command will NOT be sufficent.</t>
  </si>
  <si>
    <t>sheet updated (more columns)</t>
  </si>
  <si>
    <t>If you used more than one (neat) fuel per aerodrome pair, please report the same pair in a separate line for each fuel.</t>
  </si>
  <si>
    <t>Table updated significantly, new calculation formulae</t>
  </si>
  <si>
    <t>Note II: If you used different type of fuels on the same aerodrome pair with different preliminary emission factors, you need to create an identical aerodrome pair and report this portion of fuel separately.</t>
  </si>
  <si>
    <t>Note III: Please also complete the CORSIA eligible fuels supplementary information to the Annual Emissions Report, if CORSIA eligible fuels were used during the reporting period.</t>
  </si>
  <si>
    <t>Reductions claimed</t>
  </si>
  <si>
    <t>If claiming reductions from the use of CORSIA eligible fuels, please complete the table below in accordance with the CORSIA delegated act. Supplementary information about the claim is also required, and can be reported using the appropriate supplementary template on CORSIA eligible fuels supplementary information.</t>
  </si>
  <si>
    <t>not hidden, updated</t>
  </si>
  <si>
    <t>Total reductions from the use of CORSIA eligible fuel(s) claimed:</t>
  </si>
  <si>
    <t>Total reductions claimed from the use of CORSIA eligible fuels (in tonnes):</t>
  </si>
  <si>
    <t>Note: This sheet only has to be filled if you have an obligation to report CORSIA-related emissions to your administering Member State. All international flights have to be reported here in accordance with the delegated act pursuant to Article 28c of the ETS Directive.</t>
  </si>
  <si>
    <t>The following rules apply:</t>
  </si>
  <si>
    <t xml:space="preserve">In this case, the alternative fuel is attributed to the flight directly following the uplift. Where several subsequent flights are carried out without fuel uplift between these flights ("tankering"), the aircraft operator shall split the amount of the alternative fuel and assign it to these flights proportionally to the emissions from those flights calculated using the preliminary emission factor. </t>
  </si>
  <si>
    <t>B. The fuel delivered cannot be physically attributed to a specific flight,e.g. because it is physically delivered only to a tank/pipeline system at the aerodrome</t>
  </si>
  <si>
    <t>A. The fuel is delivered directly to the aircraft in physically identifiable batches</t>
  </si>
  <si>
    <t>In this case, the alternative fuel is attributed proportionally using the following formulae:</t>
  </si>
  <si>
    <t>Where the variables have the following meaning:</t>
  </si>
  <si>
    <t>Proportionality factor to be applied for all fuels uplifted at the same aerodrome (with exception of batches physically delivered to the aircraft).</t>
  </si>
  <si>
    <t>Total emissions of all flights by the aircraft operator starting from this aerodrome using all fuels (including standard fuels) and which are "relevant" (see explanation below), calculated using the preliminary emission factor (i.e. without zero-rating).</t>
  </si>
  <si>
    <t>Total emissions of all flights by the aircraft operator starting from this aerodrome using all fuels (including standard fuels), calculated using the preliminary emission factor (i.e. without zero-rating), including non-ETS flights.</t>
  </si>
  <si>
    <t>Which flights are relevant for the calculation of the proportionality factor depends on the reporting purpose:</t>
  </si>
  <si>
    <t>Reporting of alternative fuels in general (Article 53a of the MRR)</t>
  </si>
  <si>
    <t>Reporting of eligible aviation fuels for applying for support under Art. 3c(6) of the EU ETS Directive (Article 54a of the MRR)</t>
  </si>
  <si>
    <t>All flights starting from this aerodrome for which allowances have to be surrendered pursuant to Article 12(3) of the EU ETS Directive, i.e. the flights under the "reduced scope" of the EU ETS.</t>
  </si>
  <si>
    <t>AND</t>
  </si>
  <si>
    <t>All flights starting from this aerodrome for which allowances have to be surrendered pursuant to Article 12(3) of the EU ETS Directive, i.e. all flights under the "reduced scope" of the EU ETS</t>
  </si>
  <si>
    <t>flights starting from this aerodrome covered by Article 3c(8) of the EU ETS Directive, i.e. flights between an aerodrome located in an outermost region of a Member State and an aerodrome located in the same Member State, including another aerodrome located in the same outermost region or in another outermost region of the same Member State.</t>
  </si>
  <si>
    <t>Therefore, for filling the table below, you should perform the following steps:</t>
  </si>
  <si>
    <t>Step 1: Generate a list of all aerodromes at which your aircraft have uplifted alternative aviation fuels. Where more than one fuel (as defined in section 5 of this template) is relevant at an aerodrome, you have to provide separate rows in the table for each fuel. Only neat fuels are to be reported. Therefore, the fossil fraction and standard fuels do not have to be listed here.</t>
  </si>
  <si>
    <t>Step 2 (only if you want to apply for support in form of free allowances pursuant to Article 3c(6) of the EU ETS Directive): Identify for each aerodrome whether it is eligible for 100% support in accordance with point (c) of the third sub-paragraph of Article 3c(6), i.e. airports situated on islands smaller than 10 000 km2 and with no road or rail link with the mainland, airports which are insufficiently large to be defined as Union airports in accordance with the ReFuelEU Aviation Regulation and airports located in an outermost region.</t>
  </si>
  <si>
    <t>The results of the above steps are to be entered in the table below, with specific guidance for each column as follows:</t>
  </si>
  <si>
    <t>Pick the fuel name from the drop-down list, which is automatically generated from all fuels for which complete information has been entered in section 5.</t>
  </si>
  <si>
    <t>Enter "TRUE" or "FALSE" in accordance with step 2 explained above. If left empty, "FALSE" is assumed. Note that this information is used for the automatic calculation in section 10b of this template, in the sheet "FEETS Application".</t>
  </si>
  <si>
    <t>Please note that here total emissions using the preliminary emission factor need to be entered (i.e. without zero-rating).</t>
  </si>
  <si>
    <t>Proportionality factor (Art. 53a) [%]</t>
  </si>
  <si>
    <t>Proportionality factor for eligible fuels (Art. 54a) [%]</t>
  </si>
  <si>
    <t>Attributed fuel (tonnes)</t>
  </si>
  <si>
    <t>Attributed zero-rated fuel (tonnes)</t>
  </si>
  <si>
    <t>Note: Due to the complexity of the formulae connected to the fuel types, it is not possible to add further rows!</t>
  </si>
  <si>
    <t>is zero-rated?</t>
  </si>
  <si>
    <t>CNTR_FuelListIsFossil</t>
  </si>
  <si>
    <t>Is fossil?</t>
  </si>
  <si>
    <t>new sheet</t>
  </si>
  <si>
    <t>The template calculates here automatically the amount of neat fuel atributed in line with the proportionality factor pursuant to Art. 53a.</t>
  </si>
  <si>
    <t>If the fuel selected is declared as being zero-rated (section 5), here the same quantity as in the previous column is displayed. Otherwise the cell is made grey.</t>
  </si>
  <si>
    <t>The template calculates here automatically the amount of neat fuel atributed in line with the proportionality factor pursuant to Art. 54a of the MRR for fuels eligible for support under Article 3c(6) of the EU ETS Directive. Note that this information is used for the automatic calculation in section 10b of this template, in the sheet "FEETS Application".</t>
  </si>
  <si>
    <t>Further notes on filling this table:</t>
  </si>
  <si>
    <t>Enter a proportionality factor of 100% for the quantity physically delivered.</t>
  </si>
  <si>
    <t>In case of tankering, you have to enter only the fuel quantity assigned to the first flight from the aerodrome of first departure. Then you have to create an additional row for the aerodrome from where the second flight departs, even if the respective fuel is not available at that aerodrome. Again 100% proportionality for that amount assigned to the second flight are to be reported.</t>
  </si>
  <si>
    <t>If at an aerodrome both situations A and B apply, the respective fuel quantities have to be reported in separate rows, even if the same fuel at the same aerodrome is involved.</t>
  </si>
  <si>
    <t>Fuel attribution by Aerodromes</t>
  </si>
  <si>
    <t>Significant hidden areas have been added for auxiliary calculations</t>
  </si>
  <si>
    <t>Significant hidden areas added for auxiliary calculations</t>
  </si>
  <si>
    <t>Formulae are added in Textboxes and are therefore excluded from translation</t>
  </si>
  <si>
    <t>Translation is not required, as variable names are explained here.</t>
  </si>
  <si>
    <t>An obligation under CORSIA is given only if you are producing annual CO2 emissions greater than 10,000 tonnes from international flights conducted by aeroplanes with a maximum certificated take-off mass greater than 5,700 kg from 1 January 2019, with the exception of state and military flights, humanitarian, medical and firefighting flights as well as flights preceding or following humanitarian, medical or firefighting flights provided that such flights were conducted with the same aircraft and were required to accomplish the related humanitarian, medical or firefighting activities or to reposition the aircraft after those activities for its next activity.</t>
  </si>
  <si>
    <t>Step 4: For each identified aerodrome, determine the proportionality factor which applies to alternative aviation fuels in general, in particular for zero-rating, pursuant to Article 53a of the MRR .</t>
  </si>
  <si>
    <t>Step 5 (only if you want to apply for support under Article 3c(6) of the EU ETS Directive and the fuel is eligible for such support): For each identified aerodrome, determine the proportionality factor which applies to eligible aviation fuels pursuant to Article 54a of the MRR.</t>
  </si>
  <si>
    <t>Please use the 4-letter ICAO designator (same as in sections 11 and 12 of this template)</t>
  </si>
  <si>
    <t xml:space="preserve">In case of situation A (direct physical delivery to aircraft), please use the following approach for filling the table: </t>
  </si>
  <si>
    <t>2nd draft of 2024 update</t>
  </si>
  <si>
    <t>not deleted, but updated</t>
  </si>
  <si>
    <t>This template also reflects the latest amendments of the MRR by Commission Implementing Regulation (EU) 2024/2493 of 23 September 2024:</t>
  </si>
  <si>
    <t>http://data.europa.eu/eli/reg_impl/2024/2493/oj</t>
  </si>
  <si>
    <t>The annual emission reports shall at least contain the information listed in Annex X.</t>
  </si>
  <si>
    <t>http://data.europa.eu/eli/agree_internation/2017/2240/2023-11-15</t>
  </si>
  <si>
    <t>updated to consolidated version 2023</t>
  </si>
  <si>
    <t>corrected</t>
  </si>
  <si>
    <t>Synthetic low-carbon aviation fuels as defined in Article 3, point (13) of Regulation (EU) 2023/2405 that is not derived from fossil fuels and is complying with the required greenhouse gas reduction criterion</t>
  </si>
  <si>
    <t>Synthetic low-carbon aviation fuels as defined in Article 3, point (13) of Regulation (EU) 2023/2405 that is derived from fossil fuels and/or is NOT complying with the required greenhouse gas reduction criterion</t>
  </si>
  <si>
    <t>Synthetic low-carbon aviation fuels as defined in Article 3, point (13) of Regulation (EU) 2023/2405 that is not derived from fossil fuels</t>
  </si>
  <si>
    <t>corrected definition</t>
  </si>
  <si>
    <t>MRR category</t>
  </si>
  <si>
    <t>Column "MRR category" added for better clarity</t>
  </si>
  <si>
    <t>hidden row added</t>
  </si>
  <si>
    <t>Note: Due to the complexity of the formulae connected to the fuel types, it is not possible to add further rows for additional fuels!</t>
  </si>
  <si>
    <t>text improved</t>
  </si>
  <si>
    <t>In the (unlikely) case that you are using fuel types which deviate from the predefined types, you can provide the parameters of such fuels manually in the last two rows of the table below (fuels No. 17 and 18).</t>
  </si>
  <si>
    <t>Confirmation of eligibility for simplified approach pursuant to Article 55(2) of the MRR:</t>
  </si>
  <si>
    <t>Attributed fuel quantity of Fuel N at the specified aerodrome in tonnes (the amount of fuel to be reported for calculating its emissions).</t>
  </si>
  <si>
    <t>Enter here the proprtionality factor determined in step 4. Note that you can enter either a value between 0 and 1 (without %-sign), or a value between 0% and 100% (this is the default format). You can add all significant digits after the comma, and adjust displayed number format, if relevant. If left empty, a value of zero is assumed.</t>
  </si>
  <si>
    <t>Enter here the proprtionality factor determined in step 5, if applicable. Note that you can enter either a value between 0 and 1 (without %-sign), or a value between 0% and 100% (this is the default format). You can add all significant digits after the comma, and adjust displayed number format, if relevant. If left empty, a value of zero is assumed.</t>
  </si>
  <si>
    <t>Updated version for emissions of 2024 (2nd DRAFT Version of 22 January 2025)</t>
  </si>
  <si>
    <t>Enter here the total amount of this neat fuel in tonnes used at this aerodrome for ALL your flights departing from this aerodrome in accordance with step 3.</t>
  </si>
  <si>
    <t>Total alternative aviation fuel used [tonnes]</t>
  </si>
  <si>
    <t>Total quantity (in tonnes) of the Fuel N used by the aircaft operator at the specified aerodrome</t>
  </si>
  <si>
    <t>Step 3: For each identified fuel and aerodrome, determine the total quantity of this (neat) fuel used at this aerodrome.</t>
  </si>
  <si>
    <t>Please, list all aearodromes where an alternative aviation fuel was used and the corresponding proportionality that applies at that aerodrome. Please, ensure that the resulting amount of neat alternative fuels claimed is correct.</t>
  </si>
  <si>
    <t>Alternative aviation fuel name</t>
  </si>
  <si>
    <t>Title updated</t>
  </si>
  <si>
    <t>As an aircraft operator, you have to attribute alternative aviation fuels (i.e. all fuels except the fossil standard fuels Jet A, Jet A1, Jet B and AvGas) and their emissions proportionally between EU ETS flights and other flights. This is regulatated in Article 53a of the MRR for alternative aviation fuels in general (in particular for zero-rated fuels) and in Article 54a regarding aviation fuels eligible for support pursuant to Article 3c(6) of the EU ETS Directive. In this section only quantities of neat alterntive aviation fuels are to be reported.</t>
  </si>
  <si>
    <t>new text</t>
  </si>
  <si>
    <t>In order to first fill section 10a, please click here for going to sheet "Annex Aerodromes".</t>
  </si>
  <si>
    <t>new Hyperlink</t>
  </si>
  <si>
    <t>new hyperlink</t>
  </si>
  <si>
    <t>new Text</t>
  </si>
  <si>
    <t xml:space="preserve">Please note that the result here is the quantity of fuel used to be reported in sections 5c and 5d. </t>
  </si>
  <si>
    <t>In case of alternative aviation fuels, you have to report the fuel quantities which are the result of the proportional attribution (see section 10a in sheet "Annex Aerodromes", Column I).</t>
  </si>
  <si>
    <t>Note that for the purposes of the EU ETS, the threshold applies to the sum of all flights within EEA, outgoing from EEA and incoming to EEA, excluding those incoming from Switzerland and the UK.</t>
  </si>
  <si>
    <t>corrected to "full scope" (excluding from CH and UK)</t>
  </si>
  <si>
    <t>For limiting administrative burden, sections (a) to (f) apply to both systems, EU ETS and CH ETS.</t>
  </si>
  <si>
    <t>Text clarified</t>
  </si>
  <si>
    <t>Total emissions related to the reduced scope (taken from section 5(c) automatically)</t>
  </si>
  <si>
    <t>Please provide here important information related to the criteria to be met for zero-rating biofuels, RFNBO/RCF and SLCFs. Life cycle emissions should be given as t CO2 / t fuel, and calculated according to the methods provided by the Renewable Energy Directive (RED). Such information may be retrieved from the "proof of sustainability" (PoS) issued under a certification scheme recognised by the Commission under the RED or other equivalent document.</t>
  </si>
  <si>
    <t>updated.</t>
  </si>
  <si>
    <t>The totals in the following table should be consistent with the result of section 5(c). The following sections (b) and (c) should be filled without any double counting of emissions between them.</t>
  </si>
  <si>
    <t>updated text</t>
  </si>
  <si>
    <t>Use of alternative aviation fuels can be reported without proportional attribution (i.e. see section 10a in sheet "Annex Aerodromes" IS NOT APPLICABLE to flights falling under the CH ETS).</t>
  </si>
  <si>
    <t>When ready with entries in this sheet, please click here for returning to entering data in section 5c (fuel quantities used in sheet "Emissions overview").</t>
  </si>
  <si>
    <t>Note on CH ETS:</t>
  </si>
  <si>
    <t>The rules for attributing alternative fuels proportionally to ETS flights do NOT apply to CH ETS. Therefore, no Swiss aerodromes should be listed in this table.</t>
  </si>
  <si>
    <t>This section shall be used solely for the purpose of EU ETS, alternative fuels used under CH ETS shall not be reported under this section.</t>
  </si>
  <si>
    <t>Please, be aware that in this sheet the fuel use of ALL fuels, including standard fuels, is to be reported. The total figures will therefore significantly deviate from the amounts in section 10a (Annex Aerodromes), where only alternative fuels under EU ETS need to be reported. However, the total amount of alternative fuels reported on EU ETS flights in this sheet should indeed match the  total amount of alternative fuels attributed in section 10a. Moreover, please, be aware that alternative fuels reported on CH ETS flights are not included in section 10a and should be therefore attributed directly in this sheet.</t>
  </si>
  <si>
    <t>Attributed quantity in section 10a</t>
  </si>
  <si>
    <t>For checking if the amounts of alternative fuels are consistent with quantities attributed at aerodromes in accordance with section 10a, the amounts calculated there are displayed in the rightmost column of this table.</t>
  </si>
  <si>
    <t>In case of a deviation of more than 0.1 tonnes fuel, the cell turns red.</t>
  </si>
  <si>
    <t>New text</t>
  </si>
  <si>
    <t>new column &amp; calculation</t>
  </si>
  <si>
    <t>another column was added for the control sum (section 10a)</t>
  </si>
  <si>
    <t>This is the final version, dated 22 January 2025, providing an update of the final version of the annual emission report template endorsed by the Climate Change Committee in January 2020.</t>
  </si>
  <si>
    <t>revised</t>
  </si>
  <si>
    <t>HEFA</t>
  </si>
  <si>
    <t>RFNBO EDDF</t>
  </si>
  <si>
    <t>ATJ</t>
  </si>
  <si>
    <t>EDDF</t>
  </si>
  <si>
    <t>LROP</t>
  </si>
  <si>
    <t>LKPR</t>
  </si>
  <si>
    <t>LEMD</t>
  </si>
  <si>
    <t>LIRF</t>
  </si>
  <si>
    <t>4. HEFA</t>
  </si>
  <si>
    <t>5. RFNBO EDDF</t>
  </si>
  <si>
    <t>6. ATJ</t>
  </si>
  <si>
    <t>GCLA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</si>
</sst>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 ;[Red]\-#,##0\ "/>
    <numFmt numFmtId="165" formatCode="#,##0.00_ ;[Red]\-#,##0.00\ "/>
    <numFmt numFmtId="166" formatCode="0;;;@"/>
    <numFmt numFmtId="167" formatCode="#,##0.0"/>
    <numFmt numFmtId="168" formatCode="0.0%"/>
    <numFmt numFmtId="169" formatCode="0.000"/>
  </numFmts>
  <fonts count="1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b/>
      <sz val="8"/>
      <name val="Arial"/>
      <family val="2"/>
    </font>
    <font>
      <u/>
      <sz val="10"/>
      <color indexed="12"/>
      <name val="Arial"/>
      <family val="2"/>
    </font>
    <font>
      <sz val="8"/>
      <name val="Arial"/>
      <family val="2"/>
    </font>
    <font>
      <b/>
      <sz val="14"/>
      <name val="Arial"/>
      <family val="2"/>
    </font>
    <font>
      <i/>
      <sz val="8"/>
      <color indexed="62"/>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color indexed="12"/>
      <name val="Arial"/>
      <family val="2"/>
    </font>
    <font>
      <b/>
      <sz val="9"/>
      <name val="Arial"/>
      <family val="2"/>
    </font>
    <font>
      <b/>
      <sz val="12"/>
      <name val="Times New Roman"/>
      <family val="1"/>
    </font>
    <font>
      <b/>
      <u/>
      <sz val="20"/>
      <color indexed="62"/>
      <name val="Arial"/>
      <family val="2"/>
    </font>
    <font>
      <b/>
      <u/>
      <sz val="10"/>
      <color indexed="62"/>
      <name val="Arial"/>
      <family val="2"/>
    </font>
    <font>
      <sz val="10"/>
      <color indexed="14"/>
      <name val="Arial"/>
      <family val="2"/>
    </font>
    <font>
      <i/>
      <sz val="8"/>
      <color indexed="14"/>
      <name val="Arial"/>
      <family val="2"/>
    </font>
    <font>
      <b/>
      <u/>
      <sz val="10"/>
      <name val="Arial"/>
      <family val="2"/>
    </font>
    <font>
      <u/>
      <sz val="8"/>
      <name val="Arial"/>
      <family val="2"/>
    </font>
    <font>
      <i/>
      <sz val="10"/>
      <name val="Arial"/>
      <family val="2"/>
    </font>
    <font>
      <sz val="8"/>
      <color indexed="81"/>
      <name val="Tahoma"/>
      <family val="2"/>
    </font>
    <font>
      <b/>
      <sz val="12"/>
      <name val="Arial"/>
      <family val="2"/>
    </font>
    <font>
      <sz val="12"/>
      <color indexed="10"/>
      <name val="Arial"/>
      <family val="2"/>
    </font>
    <font>
      <u/>
      <sz val="10"/>
      <name val="Arial"/>
      <family val="2"/>
    </font>
    <font>
      <b/>
      <vertAlign val="subscript"/>
      <sz val="10"/>
      <name val="Arial"/>
      <family val="2"/>
    </font>
    <font>
      <b/>
      <vertAlign val="subscript"/>
      <sz val="8"/>
      <name val="Arial"/>
      <family val="2"/>
    </font>
    <font>
      <b/>
      <vertAlign val="subscript"/>
      <sz val="14"/>
      <name val="Arial"/>
      <family val="2"/>
    </font>
    <font>
      <sz val="10"/>
      <color indexed="62"/>
      <name val="Arial"/>
      <family val="2"/>
    </font>
    <font>
      <b/>
      <sz val="8"/>
      <color indexed="81"/>
      <name val="Tahoma"/>
      <family val="2"/>
    </font>
    <font>
      <i/>
      <sz val="8"/>
      <name val="Arial"/>
      <family val="2"/>
    </font>
    <font>
      <i/>
      <vertAlign val="subscript"/>
      <sz val="8"/>
      <name val="Arial"/>
      <family val="2"/>
    </font>
    <font>
      <b/>
      <sz val="18"/>
      <name val="Arial"/>
      <family val="2"/>
    </font>
    <font>
      <b/>
      <i/>
      <sz val="8"/>
      <color indexed="18"/>
      <name val="Arial"/>
      <family val="2"/>
    </font>
    <font>
      <b/>
      <sz val="10"/>
      <color indexed="62"/>
      <name val="Arial"/>
      <family val="2"/>
    </font>
    <font>
      <i/>
      <sz val="9"/>
      <color indexed="62"/>
      <name val="Arial"/>
      <family val="2"/>
    </font>
    <font>
      <sz val="9"/>
      <name val="Arial"/>
      <family val="2"/>
    </font>
    <font>
      <sz val="14"/>
      <color indexed="18"/>
      <name val="Arial"/>
      <family val="2"/>
    </font>
    <font>
      <sz val="14"/>
      <name val="Arial"/>
      <family val="2"/>
    </font>
    <font>
      <i/>
      <sz val="10"/>
      <color indexed="62"/>
      <name val="Arial"/>
      <family val="2"/>
    </font>
    <font>
      <sz val="10"/>
      <color indexed="18"/>
      <name val="Arial"/>
      <family val="2"/>
    </font>
    <font>
      <sz val="10"/>
      <color indexed="10"/>
      <name val="Arial"/>
      <family val="2"/>
    </font>
    <font>
      <sz val="10"/>
      <color indexed="9"/>
      <name val="Arial"/>
      <family val="2"/>
    </font>
    <font>
      <b/>
      <i/>
      <sz val="8"/>
      <name val="Arial"/>
      <family val="2"/>
    </font>
    <font>
      <b/>
      <i/>
      <sz val="8"/>
      <color indexed="62"/>
      <name val="Arial"/>
      <family val="2"/>
    </font>
    <font>
      <i/>
      <sz val="12"/>
      <name val="Arial"/>
      <family val="2"/>
    </font>
    <font>
      <b/>
      <sz val="12"/>
      <color indexed="62"/>
      <name val="Arial"/>
      <family val="2"/>
    </font>
    <font>
      <b/>
      <sz val="14"/>
      <color indexed="62"/>
      <name val="Arial"/>
      <family val="2"/>
    </font>
    <font>
      <b/>
      <sz val="10"/>
      <color indexed="10"/>
      <name val="Arial"/>
      <family val="2"/>
    </font>
    <font>
      <sz val="11"/>
      <name val="Calibri"/>
      <family val="2"/>
    </font>
    <font>
      <i/>
      <u/>
      <sz val="8"/>
      <color indexed="18"/>
      <name val="Arial"/>
      <family val="2"/>
    </font>
    <font>
      <i/>
      <vertAlign val="subscript"/>
      <sz val="8"/>
      <color indexed="18"/>
      <name val="Arial"/>
      <family val="2"/>
    </font>
    <font>
      <b/>
      <i/>
      <u/>
      <sz val="8"/>
      <color indexed="18"/>
      <name val="Arial"/>
      <family val="2"/>
    </font>
    <font>
      <i/>
      <sz val="8"/>
      <color indexed="10"/>
      <name val="Arial"/>
      <family val="2"/>
    </font>
    <font>
      <b/>
      <sz val="8"/>
      <color indexed="10"/>
      <name val="Arial"/>
      <family val="2"/>
    </font>
    <font>
      <b/>
      <sz val="8"/>
      <color rgb="FFFF0000"/>
      <name val="Arial"/>
      <family val="2"/>
    </font>
    <font>
      <b/>
      <sz val="10"/>
      <color rgb="FFFF0000"/>
      <name val="Arial"/>
      <family val="2"/>
    </font>
    <font>
      <sz val="11"/>
      <color rgb="FF000000"/>
      <name val="Calibri"/>
      <family val="2"/>
      <scheme val="minor"/>
    </font>
    <font>
      <b/>
      <u/>
      <sz val="20"/>
      <color rgb="FF333399"/>
      <name val="Arial"/>
      <family val="2"/>
    </font>
    <font>
      <b/>
      <sz val="12"/>
      <color rgb="FFFF0000"/>
      <name val="Arial"/>
      <family val="2"/>
    </font>
    <font>
      <sz val="10"/>
      <color rgb="FF333399"/>
      <name val="Arial"/>
      <family val="2"/>
    </font>
    <font>
      <i/>
      <sz val="9"/>
      <color rgb="FF333399"/>
      <name val="Arial"/>
      <family val="2"/>
    </font>
    <font>
      <b/>
      <sz val="12"/>
      <color rgb="FFFFFFFF"/>
      <name val="Arial"/>
      <family val="2"/>
    </font>
    <font>
      <i/>
      <sz val="8"/>
      <color rgb="FF333399"/>
      <name val="Arial"/>
      <family val="2"/>
    </font>
    <font>
      <b/>
      <i/>
      <sz val="8"/>
      <color rgb="FF000080"/>
      <name val="Arial"/>
      <family val="2"/>
    </font>
    <font>
      <i/>
      <u/>
      <sz val="8"/>
      <color rgb="FF333399"/>
      <name val="Arial"/>
      <family val="2"/>
    </font>
    <font>
      <i/>
      <sz val="8"/>
      <color rgb="FF000080"/>
      <name val="Arial"/>
      <family val="2"/>
    </font>
    <font>
      <b/>
      <sz val="10"/>
      <color rgb="FF333399"/>
      <name val="Arial"/>
      <family val="2"/>
    </font>
    <font>
      <b/>
      <sz val="8"/>
      <color rgb="FF333399"/>
      <name val="Arial"/>
      <family val="2"/>
    </font>
    <font>
      <sz val="8"/>
      <color rgb="FF333399"/>
      <name val="Arial"/>
      <family val="2"/>
    </font>
    <font>
      <sz val="11"/>
      <color rgb="FF000000"/>
      <name val="Calibri"/>
      <family val="2"/>
    </font>
    <font>
      <sz val="14"/>
      <color rgb="FF000080"/>
      <name val="Arial"/>
      <family val="2"/>
    </font>
    <font>
      <sz val="10"/>
      <color rgb="FFFF0000"/>
      <name val="Arial"/>
      <family val="2"/>
    </font>
    <font>
      <sz val="10"/>
      <color theme="0"/>
      <name val="Arial"/>
      <family val="2"/>
    </font>
    <font>
      <sz val="8"/>
      <color rgb="FFFF0000"/>
      <name val="Arial"/>
      <family val="2"/>
    </font>
    <font>
      <b/>
      <i/>
      <sz val="12"/>
      <name val="Arial"/>
      <family val="2"/>
    </font>
    <font>
      <b/>
      <u/>
      <sz val="20"/>
      <color rgb="FFFF0000"/>
      <name val="Arial"/>
      <family val="2"/>
    </font>
    <font>
      <sz val="14"/>
      <color rgb="FFFF0000"/>
      <name val="Arial"/>
      <family val="2"/>
    </font>
    <font>
      <b/>
      <sz val="11"/>
      <name val="Arial"/>
      <family val="2"/>
    </font>
    <font>
      <sz val="11"/>
      <name val="Arial"/>
      <family val="2"/>
    </font>
    <font>
      <b/>
      <i/>
      <sz val="9"/>
      <color indexed="62"/>
      <name val="Arial"/>
      <family val="2"/>
    </font>
    <font>
      <i/>
      <sz val="9"/>
      <color rgb="FFFF0000"/>
      <name val="Arial"/>
      <family val="2"/>
    </font>
    <font>
      <sz val="11"/>
      <color rgb="FFFF0000"/>
      <name val="Arial"/>
      <family val="2"/>
    </font>
    <font>
      <vertAlign val="subscript"/>
      <sz val="10"/>
      <name val="Arial"/>
      <family val="2"/>
    </font>
    <font>
      <i/>
      <u/>
      <sz val="8"/>
      <color indexed="62"/>
      <name val="Arial"/>
      <family val="2"/>
    </font>
    <font>
      <i/>
      <sz val="9"/>
      <name val="Arial"/>
      <family val="2"/>
    </font>
    <font>
      <b/>
      <i/>
      <sz val="9"/>
      <name val="Arial"/>
      <family val="2"/>
    </font>
    <font>
      <sz val="9"/>
      <color indexed="81"/>
      <name val="Segoe UI"/>
      <family val="2"/>
    </font>
    <font>
      <b/>
      <sz val="9"/>
      <color indexed="81"/>
      <name val="Segoe UI"/>
      <family val="2"/>
    </font>
    <font>
      <b/>
      <sz val="11"/>
      <color theme="0" tint="-0.34998626667073579"/>
      <name val="Calibri"/>
      <family val="2"/>
    </font>
    <font>
      <b/>
      <u/>
      <sz val="20"/>
      <color theme="0" tint="-0.34998626667073579"/>
      <name val="Arial"/>
      <family val="2"/>
    </font>
    <font>
      <b/>
      <sz val="14"/>
      <color theme="0" tint="-0.34998626667073579"/>
      <name val="Arial"/>
      <family val="2"/>
    </font>
    <font>
      <sz val="10"/>
      <color theme="0" tint="-0.34998626667073579"/>
      <name val="Arial"/>
      <family val="2"/>
    </font>
    <font>
      <b/>
      <sz val="10"/>
      <color theme="0" tint="-0.34998626667073579"/>
      <name val="Arial"/>
      <family val="2"/>
    </font>
    <font>
      <u/>
      <sz val="10"/>
      <color theme="0" tint="-0.34998626667073579"/>
      <name val="Arial"/>
      <family val="2"/>
    </font>
    <font>
      <i/>
      <sz val="10"/>
      <color theme="0" tint="-0.34998626667073579"/>
      <name val="Arial"/>
      <family val="2"/>
    </font>
    <font>
      <b/>
      <sz val="12"/>
      <color theme="0" tint="-0.34998626667073579"/>
      <name val="Arial"/>
      <family val="2"/>
    </font>
    <font>
      <i/>
      <sz val="9"/>
      <color theme="0" tint="-0.34998626667073579"/>
      <name val="Arial"/>
      <family val="2"/>
    </font>
    <font>
      <i/>
      <sz val="8"/>
      <color theme="0" tint="-0.34998626667073579"/>
      <name val="Arial"/>
      <family val="2"/>
    </font>
    <font>
      <b/>
      <sz val="8"/>
      <color theme="0" tint="-0.34998626667073579"/>
      <name val="Arial"/>
      <family val="2"/>
    </font>
    <font>
      <b/>
      <i/>
      <sz val="8"/>
      <color theme="0" tint="-0.34998626667073579"/>
      <name val="Arial"/>
      <family val="2"/>
    </font>
    <font>
      <sz val="11"/>
      <color theme="0" tint="-0.34998626667073579"/>
      <name val="Calibri"/>
      <family val="2"/>
    </font>
    <font>
      <i/>
      <u/>
      <sz val="8"/>
      <color theme="0" tint="-0.34998626667073579"/>
      <name val="Arial"/>
      <family val="2"/>
    </font>
    <font>
      <b/>
      <sz val="9"/>
      <color theme="0" tint="-0.34998626667073579"/>
      <name val="Arial"/>
      <family val="2"/>
    </font>
    <font>
      <b/>
      <u/>
      <sz val="10"/>
      <color theme="0" tint="-0.34998626667073579"/>
      <name val="Arial"/>
      <family val="2"/>
    </font>
    <font>
      <sz val="8"/>
      <color theme="0" tint="-0.34998626667073579"/>
      <name val="Arial"/>
      <family val="2"/>
    </font>
    <font>
      <b/>
      <vertAlign val="subscript"/>
      <sz val="10"/>
      <color theme="0" tint="-0.34998626667073579"/>
      <name val="Arial"/>
      <family val="2"/>
    </font>
    <font>
      <b/>
      <vertAlign val="subscript"/>
      <sz val="8"/>
      <color theme="0" tint="-0.34998626667073579"/>
      <name val="Arial"/>
      <family val="2"/>
    </font>
    <font>
      <i/>
      <vertAlign val="subscript"/>
      <sz val="8"/>
      <color theme="0" tint="-0.34998626667073579"/>
      <name val="Arial"/>
      <family val="2"/>
    </font>
    <font>
      <b/>
      <vertAlign val="subscript"/>
      <sz val="14"/>
      <color theme="0" tint="-0.34998626667073579"/>
      <name val="Arial"/>
      <family val="2"/>
    </font>
    <font>
      <u/>
      <sz val="8"/>
      <color theme="0" tint="-0.34998626667073579"/>
      <name val="Arial"/>
      <family val="2"/>
    </font>
    <font>
      <b/>
      <i/>
      <u/>
      <sz val="8"/>
      <color theme="0" tint="-0.34998626667073579"/>
      <name val="Arial"/>
      <family val="2"/>
    </font>
    <font>
      <sz val="14"/>
      <color theme="0" tint="-0.34998626667073579"/>
      <name val="Arial"/>
      <family val="2"/>
    </font>
    <font>
      <sz val="11"/>
      <color theme="0" tint="-0.34998626667073579"/>
      <name val="Arial"/>
      <family val="2"/>
    </font>
    <font>
      <b/>
      <i/>
      <sz val="9"/>
      <color theme="0" tint="-0.34998626667073579"/>
      <name val="Arial"/>
      <family val="2"/>
    </font>
    <font>
      <vertAlign val="subscript"/>
      <sz val="10"/>
      <color theme="0" tint="-0.34998626667073579"/>
      <name val="Arial"/>
      <family val="2"/>
    </font>
    <font>
      <sz val="10"/>
      <name val="Calibri"/>
      <family val="2"/>
    </font>
    <font>
      <b/>
      <u/>
      <sz val="10"/>
      <color rgb="FFFF0000"/>
      <name val="Arial"/>
      <family val="2"/>
    </font>
    <font>
      <strike/>
      <sz val="10"/>
      <color rgb="FFFF0000"/>
      <name val="Arial"/>
      <family val="2"/>
    </font>
    <font>
      <i/>
      <u/>
      <sz val="8"/>
      <color indexed="12"/>
      <name val="Arial"/>
      <family val="2"/>
    </font>
    <font>
      <b/>
      <sz val="10"/>
      <color rgb="FF0070C0"/>
      <name val="Arial"/>
      <family val="2"/>
    </font>
    <font>
      <sz val="8"/>
      <color rgb="FF0070C0"/>
      <name val="Arial"/>
      <family val="2"/>
    </font>
    <font>
      <i/>
      <sz val="8"/>
      <color rgb="FFFF0000"/>
      <name val="Arial"/>
      <family val="2"/>
    </font>
    <font>
      <sz val="11"/>
      <color rgb="FFFF0000"/>
      <name val="Calibri"/>
      <family val="2"/>
      <scheme val="minor"/>
    </font>
    <font>
      <sz val="10"/>
      <name val="Arial"/>
      <family val="2"/>
    </font>
    <font>
      <b/>
      <sz val="11"/>
      <color theme="1"/>
      <name val="Calibri"/>
      <family val="2"/>
      <scheme val="minor"/>
    </font>
    <font>
      <sz val="11"/>
      <name val="Calibri"/>
      <family val="2"/>
      <scheme val="minor"/>
    </font>
    <font>
      <b/>
      <i/>
      <sz val="8"/>
      <color rgb="FFFF0000"/>
      <name val="Arial"/>
      <family val="2"/>
    </font>
    <font>
      <strike/>
      <sz val="10"/>
      <name val="Arial"/>
      <family val="2"/>
    </font>
    <font>
      <strike/>
      <sz val="8"/>
      <name val="Arial"/>
      <family val="2"/>
    </font>
    <font>
      <b/>
      <strike/>
      <sz val="14"/>
      <name val="Arial"/>
      <family val="2"/>
    </font>
    <font>
      <b/>
      <strike/>
      <sz val="12"/>
      <color indexed="9"/>
      <name val="Arial"/>
      <family val="2"/>
    </font>
    <font>
      <b/>
      <strike/>
      <sz val="10"/>
      <name val="Arial"/>
      <family val="2"/>
    </font>
    <font>
      <i/>
      <strike/>
      <sz val="8"/>
      <color indexed="62"/>
      <name val="Arial"/>
      <family val="2"/>
    </font>
    <font>
      <b/>
      <i/>
      <strike/>
      <sz val="8"/>
      <color indexed="62"/>
      <name val="Arial"/>
      <family val="2"/>
    </font>
    <font>
      <i/>
      <strike/>
      <u/>
      <sz val="8"/>
      <color indexed="12"/>
      <name val="Arial"/>
      <family val="2"/>
    </font>
    <font>
      <i/>
      <strike/>
      <sz val="8"/>
      <color indexed="18"/>
      <name val="Arial"/>
      <family val="2"/>
    </font>
    <font>
      <b/>
      <strike/>
      <sz val="8"/>
      <name val="Arial"/>
      <family val="2"/>
    </font>
    <font>
      <strike/>
      <sz val="8"/>
      <color rgb="FFFF0000"/>
      <name val="Arial"/>
      <family val="2"/>
    </font>
    <font>
      <sz val="10"/>
      <color theme="1"/>
      <name val="Arial"/>
      <family val="2"/>
    </font>
    <font>
      <b/>
      <i/>
      <sz val="10"/>
      <name val="Arial"/>
      <family val="2"/>
    </font>
    <font>
      <sz val="11"/>
      <color theme="1"/>
      <name val="Arial"/>
      <family val="2"/>
    </font>
    <font>
      <b/>
      <sz val="10"/>
      <color theme="1"/>
      <name val="Arial"/>
      <family val="2"/>
    </font>
    <font>
      <i/>
      <strike/>
      <sz val="10"/>
      <name val="Arial"/>
      <family val="2"/>
    </font>
    <font>
      <b/>
      <strike/>
      <sz val="12"/>
      <name val="Arial"/>
      <family val="2"/>
    </font>
    <font>
      <b/>
      <i/>
      <strike/>
      <sz val="9"/>
      <color indexed="62"/>
      <name val="Arial"/>
      <family val="2"/>
    </font>
    <font>
      <i/>
      <strike/>
      <sz val="8"/>
      <name val="Arial"/>
      <family val="2"/>
    </font>
    <font>
      <sz val="11"/>
      <color rgb="FF00B050"/>
      <name val="Arial"/>
      <family val="2"/>
    </font>
    <font>
      <strike/>
      <sz val="10"/>
      <color indexed="12"/>
      <name val="Arial"/>
      <family val="2"/>
    </font>
    <font>
      <strike/>
      <u/>
      <sz val="10"/>
      <color indexed="12"/>
      <name val="Arial"/>
      <family val="2"/>
    </font>
    <font>
      <sz val="10"/>
      <color rgb="FF000000"/>
      <name val="Arial"/>
      <family val="2"/>
    </font>
    <font>
      <b/>
      <i/>
      <u/>
      <sz val="8"/>
      <color indexed="62"/>
      <name val="Arial"/>
      <family val="2"/>
    </font>
    <font>
      <sz val="12"/>
      <color rgb="FFFF0000"/>
      <name val="Arial"/>
      <family val="2"/>
    </font>
    <font>
      <sz val="10"/>
      <color theme="3"/>
      <name val="Arial"/>
      <family val="2"/>
    </font>
    <font>
      <sz val="10"/>
      <color rgb="FF0000FF"/>
      <name val="Arial"/>
      <family val="2"/>
    </font>
    <font>
      <sz val="12"/>
      <color rgb="FF0000FF"/>
      <name val="Arial"/>
      <family val="2"/>
    </font>
    <font>
      <sz val="11"/>
      <color rgb="FF0000FF"/>
      <name val="Calibri"/>
      <family val="2"/>
      <scheme val="minor"/>
    </font>
    <font>
      <u/>
      <sz val="8"/>
      <color rgb="FF0000FF"/>
      <name val="Arial"/>
      <family val="2"/>
    </font>
    <font>
      <b/>
      <sz val="10"/>
      <color rgb="FF0000FF"/>
      <name val="Arial"/>
      <family val="2"/>
    </font>
    <font>
      <sz val="11"/>
      <color rgb="FF0000FF"/>
      <name val="Arial"/>
      <family val="2"/>
    </font>
    <font>
      <sz val="8"/>
      <color rgb="FF0000FF"/>
      <name val="Arial"/>
      <family val="2"/>
    </font>
  </fonts>
  <fills count="47">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1"/>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indexed="12"/>
        <bgColor indexed="64"/>
      </patternFill>
    </fill>
    <fill>
      <patternFill patternType="solid">
        <fgColor indexed="26"/>
        <bgColor indexed="64"/>
      </patternFill>
    </fill>
    <fill>
      <patternFill patternType="solid">
        <fgColor indexed="11"/>
        <bgColor indexed="64"/>
      </patternFill>
    </fill>
    <fill>
      <patternFill patternType="lightUp">
        <bgColor indexed="9"/>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rgb="FFC0C0C0"/>
        <bgColor indexed="64"/>
      </patternFill>
    </fill>
    <fill>
      <patternFill patternType="solid">
        <fgColor rgb="FF0000FF"/>
        <bgColor indexed="64"/>
      </patternFill>
    </fill>
    <fill>
      <patternFill patternType="solid">
        <fgColor rgb="FFBDD7EE"/>
        <bgColor indexed="64"/>
      </patternFill>
    </fill>
    <fill>
      <patternFill patternType="solid">
        <fgColor rgb="FFFFC000"/>
        <bgColor indexed="64"/>
      </patternFill>
    </fill>
    <fill>
      <patternFill patternType="lightUp"/>
    </fill>
    <fill>
      <patternFill patternType="lightUp">
        <fgColor auto="1"/>
      </patternFill>
    </fill>
    <fill>
      <patternFill patternType="solid">
        <fgColor rgb="FF92D050"/>
        <bgColor indexed="64"/>
      </patternFill>
    </fill>
    <fill>
      <patternFill patternType="solid">
        <fgColor theme="8" tint="0.79998168889431442"/>
        <bgColor indexed="64"/>
      </patternFill>
    </fill>
    <fill>
      <patternFill patternType="solid">
        <fgColor rgb="FFFF6464"/>
        <bgColor indexed="64"/>
      </patternFill>
    </fill>
    <fill>
      <patternFill patternType="darkUp">
        <fgColor rgb="FFFF6464"/>
      </patternFill>
    </fill>
    <fill>
      <patternFill patternType="solid">
        <fgColor theme="0"/>
        <bgColor rgb="FFFF6464"/>
      </patternFill>
    </fill>
    <fill>
      <patternFill patternType="solid">
        <fgColor rgb="FF00B05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lightUp">
        <bgColor indexed="26"/>
      </patternFill>
    </fill>
    <fill>
      <patternFill patternType="lightUp">
        <bgColor rgb="FFCCFFCC"/>
      </patternFill>
    </fill>
    <fill>
      <patternFill patternType="solid">
        <fgColor theme="0" tint="-0.34998626667073579"/>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theme="1"/>
      </left>
      <right/>
      <top style="thin">
        <color theme="1"/>
      </top>
      <bottom style="thin">
        <color theme="1"/>
      </bottom>
      <diagonal/>
    </border>
    <border>
      <left style="thin">
        <color theme="1"/>
      </left>
      <right/>
      <top style="thin">
        <color indexed="64"/>
      </top>
      <bottom/>
      <diagonal/>
    </border>
    <border>
      <left style="thin">
        <color theme="1"/>
      </left>
      <right/>
      <top style="thin">
        <color theme="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medium">
        <color indexed="64"/>
      </right>
      <top style="medium">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indexed="64"/>
      </right>
      <top/>
      <bottom style="hair">
        <color auto="1"/>
      </bottom>
      <diagonal/>
    </border>
    <border>
      <left style="hair">
        <color auto="1"/>
      </left>
      <right style="hair">
        <color auto="1"/>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indexed="64"/>
      </top>
      <bottom style="hair">
        <color auto="1"/>
      </bottom>
      <diagonal/>
    </border>
    <border>
      <left style="hair">
        <color auto="1"/>
      </left>
      <right style="thin">
        <color auto="1"/>
      </right>
      <top style="hair">
        <color auto="1"/>
      </top>
      <bottom style="thin">
        <color indexed="64"/>
      </bottom>
      <diagonal/>
    </border>
    <border>
      <left/>
      <right style="thin">
        <color indexed="64"/>
      </right>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hair">
        <color indexed="64"/>
      </top>
      <bottom/>
      <diagonal/>
    </border>
    <border>
      <left/>
      <right style="hair">
        <color auto="1"/>
      </right>
      <top style="hair">
        <color indexed="64"/>
      </top>
      <bottom/>
      <diagonal/>
    </border>
    <border>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indexed="64"/>
      </bottom>
      <diagonal/>
    </border>
    <border>
      <left/>
      <right style="medium">
        <color indexed="64"/>
      </right>
      <top style="thin">
        <color indexed="64"/>
      </top>
      <bottom style="medium">
        <color indexed="64"/>
      </bottom>
      <diagonal/>
    </border>
  </borders>
  <cellStyleXfs count="23">
    <xf numFmtId="0" fontId="0" fillId="0" borderId="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9" borderId="0" applyNumberFormat="0" applyBorder="0" applyAlignment="0" applyProtection="0"/>
    <xf numFmtId="0" fontId="16" fillId="2" borderId="0" applyNumberFormat="0" applyBorder="0" applyAlignment="0" applyProtection="0"/>
    <xf numFmtId="0" fontId="17" fillId="10" borderId="1" applyNumberFormat="0" applyAlignment="0" applyProtection="0"/>
    <xf numFmtId="0" fontId="18" fillId="3" borderId="0" applyNumberFormat="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5" applyNumberFormat="0" applyFill="0" applyAlignment="0" applyProtection="0"/>
    <xf numFmtId="0" fontId="23" fillId="11" borderId="0" applyNumberFormat="0" applyBorder="0" applyAlignment="0" applyProtection="0"/>
    <xf numFmtId="0" fontId="5" fillId="12" borderId="6" applyNumberFormat="0" applyFont="0" applyAlignment="0" applyProtection="0"/>
    <xf numFmtId="0" fontId="5" fillId="0" borderId="0"/>
    <xf numFmtId="0" fontId="4" fillId="0" borderId="0"/>
    <xf numFmtId="0" fontId="24" fillId="0" borderId="0" applyNumberFormat="0" applyFill="0" applyBorder="0" applyAlignment="0" applyProtection="0"/>
    <xf numFmtId="0" fontId="3" fillId="0" borderId="0"/>
    <xf numFmtId="9" fontId="139" fillId="0" borderId="0" applyFont="0" applyFill="0" applyBorder="0" applyAlignment="0" applyProtection="0"/>
  </cellStyleXfs>
  <cellXfs count="1402">
    <xf numFmtId="0" fontId="0" fillId="0" borderId="0" xfId="0"/>
    <xf numFmtId="0" fontId="5" fillId="13" borderId="0" xfId="0" applyFont="1" applyFill="1" applyAlignment="1">
      <alignment vertical="top" wrapText="1"/>
    </xf>
    <xf numFmtId="0" fontId="0" fillId="0" borderId="0" xfId="0" applyAlignment="1">
      <alignment vertical="top" wrapText="1"/>
    </xf>
    <xf numFmtId="0" fontId="11" fillId="0" borderId="0" xfId="14" applyAlignment="1" applyProtection="1">
      <alignment vertical="top" wrapText="1"/>
    </xf>
    <xf numFmtId="0" fontId="47" fillId="0" borderId="0" xfId="0" applyFont="1"/>
    <xf numFmtId="0" fontId="0" fillId="14" borderId="0" xfId="0" applyFill="1"/>
    <xf numFmtId="0" fontId="49" fillId="13" borderId="0" xfId="0" applyFont="1" applyFill="1" applyAlignment="1">
      <alignment horizontal="center" vertical="top"/>
    </xf>
    <xf numFmtId="0" fontId="5" fillId="13" borderId="0" xfId="0" applyFont="1" applyFill="1" applyAlignment="1">
      <alignment vertical="top"/>
    </xf>
    <xf numFmtId="0" fontId="7" fillId="13" borderId="0" xfId="0" applyFont="1" applyFill="1" applyAlignment="1">
      <alignment horizontal="center" vertical="top"/>
    </xf>
    <xf numFmtId="0" fontId="5" fillId="15" borderId="0" xfId="0" applyFont="1" applyFill="1" applyAlignment="1">
      <alignment vertical="top"/>
    </xf>
    <xf numFmtId="0" fontId="5" fillId="0" borderId="0" xfId="0" applyFont="1"/>
    <xf numFmtId="0" fontId="7" fillId="0" borderId="0" xfId="0" applyFont="1" applyAlignment="1">
      <alignment horizontal="center" vertical="top"/>
    </xf>
    <xf numFmtId="0" fontId="38" fillId="0" borderId="0" xfId="0" applyFont="1"/>
    <xf numFmtId="0" fontId="0" fillId="0" borderId="0" xfId="0" applyAlignment="1">
      <alignment vertical="top"/>
    </xf>
    <xf numFmtId="0" fontId="7" fillId="0" borderId="0" xfId="0" applyFont="1"/>
    <xf numFmtId="0" fontId="0" fillId="16" borderId="0" xfId="0" applyFill="1"/>
    <xf numFmtId="0" fontId="39" fillId="0" borderId="0" xfId="0" applyFont="1" applyAlignment="1">
      <alignment vertical="top" wrapText="1"/>
    </xf>
    <xf numFmtId="0" fontId="0" fillId="16" borderId="7" xfId="0" applyFill="1" applyBorder="1"/>
    <xf numFmtId="0" fontId="0" fillId="16" borderId="8" xfId="0" applyFill="1" applyBorder="1"/>
    <xf numFmtId="0" fontId="7" fillId="0" borderId="0" xfId="0" applyFont="1" applyAlignment="1">
      <alignment horizontal="left" vertical="top"/>
    </xf>
    <xf numFmtId="0" fontId="5" fillId="0" borderId="0" xfId="0" applyFont="1" applyAlignment="1">
      <alignment vertical="top"/>
    </xf>
    <xf numFmtId="0" fontId="35" fillId="0" borderId="0" xfId="0" applyFont="1"/>
    <xf numFmtId="0" fontId="0" fillId="17" borderId="0" xfId="0" applyFill="1"/>
    <xf numFmtId="0" fontId="5" fillId="17" borderId="0" xfId="0" applyFont="1" applyFill="1"/>
    <xf numFmtId="0" fontId="0" fillId="17" borderId="0" xfId="0" quotePrefix="1" applyFill="1"/>
    <xf numFmtId="0" fontId="0" fillId="17" borderId="0" xfId="0" applyFill="1" applyAlignment="1">
      <alignment horizontal="center"/>
    </xf>
    <xf numFmtId="0" fontId="0" fillId="17" borderId="0" xfId="0" applyFill="1" applyAlignment="1">
      <alignment horizontal="left"/>
    </xf>
    <xf numFmtId="0" fontId="0" fillId="18" borderId="0" xfId="0" applyFill="1"/>
    <xf numFmtId="0" fontId="0" fillId="0" borderId="9" xfId="0" applyBorder="1"/>
    <xf numFmtId="0" fontId="0" fillId="19" borderId="10" xfId="0" applyFill="1" applyBorder="1"/>
    <xf numFmtId="0" fontId="0" fillId="0" borderId="11" xfId="0" applyBorder="1"/>
    <xf numFmtId="14" fontId="0" fillId="20" borderId="12" xfId="0" applyNumberFormat="1" applyFill="1" applyBorder="1" applyAlignment="1">
      <alignment horizontal="left"/>
    </xf>
    <xf numFmtId="0" fontId="0" fillId="17" borderId="13" xfId="0" applyFill="1" applyBorder="1"/>
    <xf numFmtId="0" fontId="0" fillId="17" borderId="14" xfId="0" applyFill="1" applyBorder="1"/>
    <xf numFmtId="0" fontId="0" fillId="17" borderId="15" xfId="0" applyFill="1" applyBorder="1"/>
    <xf numFmtId="0" fontId="0" fillId="0" borderId="16" xfId="0" applyBorder="1"/>
    <xf numFmtId="0" fontId="0" fillId="18" borderId="17" xfId="0" applyFill="1" applyBorder="1"/>
    <xf numFmtId="0" fontId="0" fillId="0" borderId="18" xfId="0" applyBorder="1"/>
    <xf numFmtId="0" fontId="0" fillId="16" borderId="19" xfId="0" applyFill="1" applyBorder="1"/>
    <xf numFmtId="14" fontId="0" fillId="20" borderId="20" xfId="0" applyNumberFormat="1" applyFill="1" applyBorder="1" applyAlignment="1">
      <alignment horizontal="center"/>
    </xf>
    <xf numFmtId="0" fontId="0" fillId="17" borderId="21" xfId="0" applyFill="1" applyBorder="1"/>
    <xf numFmtId="0" fontId="0" fillId="17" borderId="22" xfId="0" applyFill="1" applyBorder="1"/>
    <xf numFmtId="14" fontId="0" fillId="20" borderId="23" xfId="0" applyNumberFormat="1" applyFill="1" applyBorder="1" applyAlignment="1">
      <alignment horizontal="center"/>
    </xf>
    <xf numFmtId="0" fontId="0" fillId="17" borderId="24" xfId="0" applyFill="1" applyBorder="1"/>
    <xf numFmtId="0" fontId="0" fillId="17" borderId="25" xfId="0" applyFill="1" applyBorder="1"/>
    <xf numFmtId="14" fontId="0" fillId="20" borderId="26" xfId="0" applyNumberFormat="1" applyFill="1" applyBorder="1" applyAlignment="1">
      <alignment horizontal="center"/>
    </xf>
    <xf numFmtId="0" fontId="0" fillId="17" borderId="27" xfId="0" applyFill="1" applyBorder="1"/>
    <xf numFmtId="0" fontId="0" fillId="17" borderId="28" xfId="0" applyFill="1" applyBorder="1"/>
    <xf numFmtId="0" fontId="5" fillId="17" borderId="24" xfId="0" applyFont="1" applyFill="1" applyBorder="1"/>
    <xf numFmtId="0" fontId="43" fillId="13" borderId="0" xfId="0" applyFont="1" applyFill="1" applyAlignment="1">
      <alignment horizontal="left" vertical="top"/>
    </xf>
    <xf numFmtId="0" fontId="5" fillId="14" borderId="0" xfId="0" applyFont="1" applyFill="1"/>
    <xf numFmtId="0" fontId="5" fillId="17" borderId="21" xfId="0" applyFont="1" applyFill="1" applyBorder="1"/>
    <xf numFmtId="0" fontId="10" fillId="0" borderId="29" xfId="18" applyFont="1" applyBorder="1" applyAlignment="1">
      <alignment horizontal="center" vertical="top" wrapText="1"/>
    </xf>
    <xf numFmtId="0" fontId="5" fillId="0" borderId="0" xfId="18" applyAlignment="1">
      <alignment vertical="top" wrapText="1"/>
    </xf>
    <xf numFmtId="0" fontId="0" fillId="25" borderId="0" xfId="0" applyFill="1" applyAlignment="1">
      <alignment horizontal="center"/>
    </xf>
    <xf numFmtId="0" fontId="7" fillId="0" borderId="0" xfId="18" applyFont="1" applyAlignment="1">
      <alignment horizontal="left" vertical="top" wrapText="1"/>
    </xf>
    <xf numFmtId="0" fontId="5" fillId="0" borderId="0" xfId="18"/>
    <xf numFmtId="0" fontId="10" fillId="13" borderId="7" xfId="18" applyFont="1" applyFill="1" applyBorder="1" applyAlignment="1">
      <alignment horizontal="center" vertical="top" wrapText="1"/>
    </xf>
    <xf numFmtId="0" fontId="6" fillId="21" borderId="0" xfId="18" applyFont="1" applyFill="1"/>
    <xf numFmtId="0" fontId="5" fillId="13" borderId="0" xfId="18" applyFill="1" applyAlignment="1">
      <alignment vertical="top"/>
    </xf>
    <xf numFmtId="0" fontId="7" fillId="0" borderId="0" xfId="18" applyFont="1" applyAlignment="1">
      <alignment vertical="top"/>
    </xf>
    <xf numFmtId="0" fontId="7" fillId="13" borderId="0" xfId="18" applyFont="1" applyFill="1" applyAlignment="1">
      <alignment vertical="top"/>
    </xf>
    <xf numFmtId="0" fontId="5" fillId="0" borderId="0" xfId="18" applyAlignment="1">
      <alignment horizontal="center" vertical="center"/>
    </xf>
    <xf numFmtId="0" fontId="14" fillId="13" borderId="0" xfId="18" applyFont="1" applyFill="1" applyAlignment="1">
      <alignment horizontal="left" vertical="top"/>
    </xf>
    <xf numFmtId="0" fontId="7" fillId="13" borderId="0" xfId="18" applyFont="1" applyFill="1" applyAlignment="1">
      <alignment horizontal="left" vertical="top" wrapText="1"/>
    </xf>
    <xf numFmtId="0" fontId="5" fillId="13" borderId="0" xfId="18" applyFill="1" applyAlignment="1">
      <alignment horizontal="left" vertical="top"/>
    </xf>
    <xf numFmtId="0" fontId="10" fillId="0" borderId="0" xfId="18" applyFont="1" applyAlignment="1">
      <alignment vertical="top"/>
    </xf>
    <xf numFmtId="0" fontId="8" fillId="0" borderId="0" xfId="18" applyFont="1" applyAlignment="1">
      <alignment vertical="top" wrapText="1"/>
    </xf>
    <xf numFmtId="0" fontId="5" fillId="0" borderId="0" xfId="18" applyAlignment="1">
      <alignment vertical="top"/>
    </xf>
    <xf numFmtId="0" fontId="5" fillId="0" borderId="0" xfId="18" applyAlignment="1">
      <alignment horizontal="left" vertical="top"/>
    </xf>
    <xf numFmtId="0" fontId="5" fillId="0" borderId="0" xfId="18" applyAlignment="1">
      <alignment wrapText="1"/>
    </xf>
    <xf numFmtId="0" fontId="32" fillId="13" borderId="0" xfId="18" applyFont="1" applyFill="1" applyAlignment="1">
      <alignment vertical="top" wrapText="1"/>
    </xf>
    <xf numFmtId="0" fontId="31" fillId="13" borderId="0" xfId="18" applyFont="1" applyFill="1" applyAlignment="1">
      <alignment vertical="top"/>
    </xf>
    <xf numFmtId="0" fontId="31" fillId="0" borderId="0" xfId="18" applyFont="1" applyAlignment="1">
      <alignment vertical="top"/>
    </xf>
    <xf numFmtId="0" fontId="7" fillId="0" borderId="0" xfId="18" applyFont="1" applyAlignment="1">
      <alignment horizontal="left" vertical="top"/>
    </xf>
    <xf numFmtId="0" fontId="32" fillId="0" borderId="0" xfId="18" applyFont="1" applyAlignment="1">
      <alignment vertical="top" wrapText="1"/>
    </xf>
    <xf numFmtId="0" fontId="28" fillId="0" borderId="0" xfId="18" applyFont="1"/>
    <xf numFmtId="0" fontId="10" fillId="0" borderId="0" xfId="18" applyFont="1" applyAlignment="1">
      <alignment horizontal="left" vertical="center"/>
    </xf>
    <xf numFmtId="0" fontId="7" fillId="0" borderId="0" xfId="18" applyFont="1"/>
    <xf numFmtId="0" fontId="6" fillId="21" borderId="0" xfId="18" applyFont="1" applyFill="1" applyAlignment="1">
      <alignment vertical="top"/>
    </xf>
    <xf numFmtId="0" fontId="8" fillId="0" borderId="0" xfId="18" applyFont="1" applyAlignment="1">
      <alignment horizontal="left" vertical="top" wrapText="1"/>
    </xf>
    <xf numFmtId="0" fontId="5" fillId="0" borderId="29" xfId="18" applyBorder="1" applyAlignment="1">
      <alignment horizontal="center" vertical="top"/>
    </xf>
    <xf numFmtId="0" fontId="25" fillId="0" borderId="30" xfId="19" applyFont="1" applyBorder="1" applyAlignment="1">
      <alignment wrapText="1"/>
    </xf>
    <xf numFmtId="0" fontId="5" fillId="0" borderId="26" xfId="18" applyBorder="1" applyAlignment="1">
      <alignment horizontal="center" vertical="top"/>
    </xf>
    <xf numFmtId="0" fontId="5" fillId="0" borderId="30" xfId="18" applyBorder="1"/>
    <xf numFmtId="0" fontId="6" fillId="21" borderId="0" xfId="18" applyFont="1" applyFill="1" applyAlignment="1">
      <alignment horizontal="left"/>
    </xf>
    <xf numFmtId="0" fontId="10" fillId="22" borderId="29" xfId="18" applyFont="1" applyFill="1" applyBorder="1" applyAlignment="1" applyProtection="1">
      <alignment horizontal="center" vertical="top"/>
      <protection locked="0"/>
    </xf>
    <xf numFmtId="164" fontId="51" fillId="22" borderId="29" xfId="18" applyNumberFormat="1" applyFont="1" applyFill="1" applyBorder="1" applyAlignment="1" applyProtection="1">
      <alignment vertical="top"/>
      <protection locked="0"/>
    </xf>
    <xf numFmtId="14" fontId="5" fillId="22" borderId="29" xfId="18" applyNumberFormat="1" applyFill="1" applyBorder="1" applyAlignment="1" applyProtection="1">
      <alignment horizontal="center" vertical="top" wrapText="1"/>
      <protection locked="0"/>
    </xf>
    <xf numFmtId="0" fontId="5" fillId="22" borderId="29" xfId="18" applyFill="1" applyBorder="1" applyAlignment="1" applyProtection="1">
      <alignment vertical="top" wrapText="1"/>
      <protection locked="0"/>
    </xf>
    <xf numFmtId="0" fontId="5" fillId="22" borderId="28" xfId="18" applyFill="1" applyBorder="1" applyProtection="1">
      <protection locked="0"/>
    </xf>
    <xf numFmtId="0" fontId="5" fillId="22" borderId="30" xfId="18" applyFill="1" applyBorder="1" applyProtection="1">
      <protection locked="0"/>
    </xf>
    <xf numFmtId="0" fontId="5" fillId="22" borderId="27" xfId="18" applyFill="1" applyBorder="1" applyProtection="1">
      <protection locked="0"/>
    </xf>
    <xf numFmtId="0" fontId="5" fillId="22" borderId="25" xfId="18" applyFill="1" applyBorder="1" applyProtection="1">
      <protection locked="0"/>
    </xf>
    <xf numFmtId="0" fontId="5" fillId="22" borderId="0" xfId="18" applyFill="1" applyProtection="1">
      <protection locked="0"/>
    </xf>
    <xf numFmtId="0" fontId="5" fillId="22" borderId="24" xfId="18" applyFill="1" applyBorder="1" applyProtection="1">
      <protection locked="0"/>
    </xf>
    <xf numFmtId="0" fontId="5" fillId="22" borderId="22" xfId="18" applyFill="1" applyBorder="1" applyProtection="1">
      <protection locked="0"/>
    </xf>
    <xf numFmtId="0" fontId="5" fillId="22" borderId="31" xfId="18" applyFill="1" applyBorder="1" applyProtection="1">
      <protection locked="0"/>
    </xf>
    <xf numFmtId="0" fontId="5" fillId="22" borderId="21" xfId="18" applyFill="1" applyBorder="1" applyProtection="1">
      <protection locked="0"/>
    </xf>
    <xf numFmtId="0" fontId="5" fillId="0" borderId="29" xfId="18" applyBorder="1"/>
    <xf numFmtId="0" fontId="7" fillId="0" borderId="29" xfId="18" applyFont="1" applyBorder="1"/>
    <xf numFmtId="0" fontId="9" fillId="0" borderId="0" xfId="18" applyFont="1" applyAlignment="1">
      <alignment horizontal="center" vertical="top" wrapText="1"/>
    </xf>
    <xf numFmtId="0" fontId="9" fillId="13" borderId="8" xfId="18" applyFont="1" applyFill="1" applyBorder="1" applyAlignment="1">
      <alignment horizontal="center" vertical="top" wrapText="1"/>
    </xf>
    <xf numFmtId="0" fontId="6" fillId="21" borderId="0" xfId="18" applyFont="1" applyFill="1" applyAlignment="1">
      <alignment horizontal="left" vertical="top"/>
    </xf>
    <xf numFmtId="0" fontId="6" fillId="13" borderId="0" xfId="18" quotePrefix="1" applyFont="1" applyFill="1" applyAlignment="1">
      <alignment horizontal="left" vertical="top"/>
    </xf>
    <xf numFmtId="164" fontId="5" fillId="0" borderId="0" xfId="18" applyNumberFormat="1"/>
    <xf numFmtId="0" fontId="9" fillId="0" borderId="0" xfId="18" applyFont="1"/>
    <xf numFmtId="0" fontId="9" fillId="13" borderId="29" xfId="18" applyFont="1" applyFill="1" applyBorder="1" applyAlignment="1">
      <alignment horizontal="left" vertical="center"/>
    </xf>
    <xf numFmtId="0" fontId="9" fillId="13" borderId="0" xfId="18" applyFont="1" applyFill="1" applyAlignment="1">
      <alignment vertical="top"/>
    </xf>
    <xf numFmtId="164" fontId="9" fillId="22" borderId="29" xfId="18" applyNumberFormat="1" applyFont="1" applyFill="1" applyBorder="1" applyAlignment="1" applyProtection="1">
      <alignment horizontal="right" vertical="center"/>
      <protection locked="0"/>
    </xf>
    <xf numFmtId="0" fontId="9" fillId="22" borderId="29" xfId="18" applyFont="1" applyFill="1" applyBorder="1" applyAlignment="1" applyProtection="1">
      <alignment horizontal="left" vertical="center"/>
      <protection locked="0"/>
    </xf>
    <xf numFmtId="0" fontId="9" fillId="0" borderId="0" xfId="18" applyFont="1" applyAlignment="1">
      <alignment vertical="top"/>
    </xf>
    <xf numFmtId="0" fontId="10" fillId="0" borderId="0" xfId="18" applyFont="1" applyAlignment="1">
      <alignment vertical="top" wrapText="1"/>
    </xf>
    <xf numFmtId="0" fontId="8" fillId="0" borderId="0" xfId="18" applyFont="1" applyAlignment="1">
      <alignment vertical="top"/>
    </xf>
    <xf numFmtId="0" fontId="9" fillId="0" borderId="0" xfId="18" applyFont="1" applyAlignment="1">
      <alignment vertical="top" wrapText="1"/>
    </xf>
    <xf numFmtId="0" fontId="5" fillId="0" borderId="0" xfId="18" applyAlignment="1">
      <alignment horizontal="center"/>
    </xf>
    <xf numFmtId="0" fontId="5" fillId="13" borderId="8" xfId="18" applyFill="1" applyBorder="1" applyAlignment="1">
      <alignment vertical="top"/>
    </xf>
    <xf numFmtId="0" fontId="5" fillId="13" borderId="32" xfId="18" applyFill="1" applyBorder="1" applyAlignment="1">
      <alignment vertical="top"/>
    </xf>
    <xf numFmtId="0" fontId="5" fillId="0" borderId="0" xfId="18" applyAlignment="1">
      <alignment vertical="center"/>
    </xf>
    <xf numFmtId="0" fontId="7" fillId="0" borderId="0" xfId="18" applyFont="1" applyAlignment="1">
      <alignment vertical="center"/>
    </xf>
    <xf numFmtId="0" fontId="9" fillId="0" borderId="0" xfId="18" applyFont="1" applyAlignment="1">
      <alignment horizontal="left" vertical="top"/>
    </xf>
    <xf numFmtId="0" fontId="7" fillId="13" borderId="0" xfId="18" applyFont="1" applyFill="1" applyAlignment="1">
      <alignment horizontal="left" vertical="top"/>
    </xf>
    <xf numFmtId="0" fontId="5" fillId="26" borderId="29" xfId="18" applyFill="1" applyBorder="1" applyAlignment="1">
      <alignment vertical="top"/>
    </xf>
    <xf numFmtId="164" fontId="9" fillId="27" borderId="29" xfId="18" applyNumberFormat="1" applyFont="1" applyFill="1" applyBorder="1" applyAlignment="1">
      <alignment horizontal="center" vertical="top"/>
    </xf>
    <xf numFmtId="0" fontId="5" fillId="26" borderId="0" xfId="18" applyFill="1" applyAlignment="1">
      <alignment vertical="top"/>
    </xf>
    <xf numFmtId="0" fontId="5" fillId="0" borderId="0" xfId="18" applyAlignment="1">
      <alignment horizontal="center" vertical="top"/>
    </xf>
    <xf numFmtId="0" fontId="5" fillId="26" borderId="20" xfId="18" applyFill="1" applyBorder="1" applyAlignment="1">
      <alignment horizontal="center" vertical="top" wrapText="1"/>
    </xf>
    <xf numFmtId="0" fontId="5" fillId="26" borderId="26" xfId="18" applyFill="1" applyBorder="1" applyAlignment="1">
      <alignment horizontal="center" vertical="top"/>
    </xf>
    <xf numFmtId="0" fontId="27" fillId="0" borderId="0" xfId="18" applyFont="1" applyAlignment="1">
      <alignment vertical="top"/>
    </xf>
    <xf numFmtId="0" fontId="5" fillId="26" borderId="0" xfId="18" applyFill="1" applyAlignment="1">
      <alignment vertical="top" wrapText="1"/>
    </xf>
    <xf numFmtId="0" fontId="45" fillId="26" borderId="0" xfId="18" applyFont="1" applyFill="1" applyAlignment="1">
      <alignment horizontal="left" vertical="top" wrapText="1"/>
    </xf>
    <xf numFmtId="0" fontId="8" fillId="0" borderId="0" xfId="18" applyFont="1" applyAlignment="1">
      <alignment horizontal="left" vertical="top"/>
    </xf>
    <xf numFmtId="2" fontId="10" fillId="0" borderId="29" xfId="18" applyNumberFormat="1" applyFont="1" applyBorder="1" applyAlignment="1">
      <alignment horizontal="center" vertical="top"/>
    </xf>
    <xf numFmtId="2" fontId="45" fillId="0" borderId="29" xfId="18" applyNumberFormat="1" applyFont="1" applyBorder="1" applyAlignment="1">
      <alignment horizontal="center" vertical="top"/>
    </xf>
    <xf numFmtId="0" fontId="9" fillId="0" borderId="29" xfId="18" applyFont="1" applyBorder="1" applyAlignment="1">
      <alignment horizontal="center" vertical="top" wrapText="1"/>
    </xf>
    <xf numFmtId="0" fontId="5" fillId="26" borderId="0" xfId="18" applyFill="1" applyAlignment="1">
      <alignment vertical="center"/>
    </xf>
    <xf numFmtId="164" fontId="7" fillId="17" borderId="34" xfId="18" applyNumberFormat="1" applyFont="1" applyFill="1" applyBorder="1" applyAlignment="1">
      <alignment vertical="center"/>
    </xf>
    <xf numFmtId="164" fontId="5" fillId="17" borderId="29" xfId="18" applyNumberFormat="1" applyFill="1" applyBorder="1" applyAlignment="1">
      <alignment vertical="center"/>
    </xf>
    <xf numFmtId="0" fontId="10" fillId="0" borderId="7" xfId="18" applyFont="1" applyBorder="1" applyAlignment="1">
      <alignment vertical="top"/>
    </xf>
    <xf numFmtId="0" fontId="9" fillId="0" borderId="32" xfId="18" applyFont="1" applyBorder="1" applyAlignment="1">
      <alignment vertical="top"/>
    </xf>
    <xf numFmtId="0" fontId="10" fillId="0" borderId="29" xfId="18" applyFont="1" applyBorder="1" applyAlignment="1">
      <alignment horizontal="center" vertical="top"/>
    </xf>
    <xf numFmtId="0" fontId="10" fillId="0" borderId="0" xfId="18" applyFont="1" applyAlignment="1">
      <alignment horizontal="center" vertical="top" wrapText="1"/>
    </xf>
    <xf numFmtId="0" fontId="9" fillId="0" borderId="7" xfId="18" applyFont="1" applyBorder="1" applyAlignment="1">
      <alignment vertical="top"/>
    </xf>
    <xf numFmtId="164" fontId="5" fillId="0" borderId="0" xfId="18" applyNumberFormat="1" applyAlignment="1">
      <alignment vertical="top"/>
    </xf>
    <xf numFmtId="0" fontId="13" fillId="13" borderId="0" xfId="18" applyFont="1" applyFill="1" applyAlignment="1">
      <alignment vertical="top"/>
    </xf>
    <xf numFmtId="0" fontId="10" fillId="0" borderId="21" xfId="18" applyFont="1" applyBorder="1" applyAlignment="1">
      <alignment vertical="top"/>
    </xf>
    <xf numFmtId="0" fontId="10" fillId="0" borderId="22" xfId="18" applyFont="1" applyBorder="1" applyAlignment="1">
      <alignment vertical="top"/>
    </xf>
    <xf numFmtId="0" fontId="57" fillId="0" borderId="0" xfId="18" applyFont="1" applyAlignment="1">
      <alignment vertical="top"/>
    </xf>
    <xf numFmtId="0" fontId="10" fillId="0" borderId="27" xfId="18" applyFont="1" applyBorder="1" applyAlignment="1">
      <alignment vertical="top"/>
    </xf>
    <xf numFmtId="0" fontId="10" fillId="0" borderId="28" xfId="18" applyFont="1" applyBorder="1" applyAlignment="1">
      <alignment vertical="top"/>
    </xf>
    <xf numFmtId="0" fontId="58" fillId="0" borderId="29" xfId="18" applyFont="1" applyBorder="1" applyAlignment="1">
      <alignment horizontal="center" vertical="top" wrapText="1"/>
    </xf>
    <xf numFmtId="0" fontId="10" fillId="0" borderId="8" xfId="18" applyFont="1" applyBorder="1" applyAlignment="1">
      <alignment vertical="top"/>
    </xf>
    <xf numFmtId="0" fontId="51" fillId="0" borderId="7" xfId="18" applyFont="1" applyBorder="1" applyAlignment="1">
      <alignment vertical="top"/>
    </xf>
    <xf numFmtId="0" fontId="5" fillId="0" borderId="8" xfId="18" applyBorder="1" applyAlignment="1">
      <alignment vertical="top"/>
    </xf>
    <xf numFmtId="0" fontId="27" fillId="0" borderId="29" xfId="18" applyFont="1" applyBorder="1" applyAlignment="1">
      <alignment vertical="top"/>
    </xf>
    <xf numFmtId="164" fontId="10" fillId="0" borderId="32" xfId="18" applyNumberFormat="1" applyFont="1" applyBorder="1" applyAlignment="1">
      <alignment vertical="top"/>
    </xf>
    <xf numFmtId="164" fontId="10" fillId="0" borderId="8" xfId="18" applyNumberFormat="1" applyFont="1" applyBorder="1" applyAlignment="1">
      <alignment vertical="top"/>
    </xf>
    <xf numFmtId="0" fontId="27" fillId="0" borderId="31" xfId="18" applyFont="1" applyBorder="1" applyAlignment="1">
      <alignment vertical="top"/>
    </xf>
    <xf numFmtId="0" fontId="5" fillId="0" borderId="31" xfId="18" applyBorder="1" applyAlignment="1">
      <alignment vertical="top"/>
    </xf>
    <xf numFmtId="0" fontId="5" fillId="0" borderId="8" xfId="18" applyBorder="1" applyAlignment="1">
      <alignment vertical="center"/>
    </xf>
    <xf numFmtId="165" fontId="10" fillId="25" borderId="29" xfId="18" applyNumberFormat="1" applyFont="1" applyFill="1" applyBorder="1" applyAlignment="1">
      <alignment horizontal="center" vertical="top"/>
    </xf>
    <xf numFmtId="0" fontId="0" fillId="13" borderId="0" xfId="0" applyFill="1" applyAlignment="1">
      <alignment vertical="top"/>
    </xf>
    <xf numFmtId="0" fontId="10" fillId="25" borderId="29" xfId="18" applyFont="1" applyFill="1" applyBorder="1" applyAlignment="1">
      <alignment horizontal="center" vertical="top"/>
    </xf>
    <xf numFmtId="0" fontId="5" fillId="26" borderId="0" xfId="18" quotePrefix="1" applyFill="1" applyAlignment="1">
      <alignment vertical="top"/>
    </xf>
    <xf numFmtId="0" fontId="5" fillId="26" borderId="34" xfId="18" applyFill="1" applyBorder="1" applyAlignment="1">
      <alignment vertical="top"/>
    </xf>
    <xf numFmtId="0" fontId="70" fillId="25" borderId="29" xfId="18" applyFont="1" applyFill="1" applyBorder="1" applyAlignment="1">
      <alignment horizontal="center" vertical="top" wrapText="1"/>
    </xf>
    <xf numFmtId="0" fontId="5" fillId="25" borderId="0" xfId="0" applyFont="1" applyFill="1"/>
    <xf numFmtId="0" fontId="6" fillId="21" borderId="0" xfId="18" applyFont="1" applyFill="1" applyAlignment="1">
      <alignment horizontal="center" vertical="top"/>
    </xf>
    <xf numFmtId="164" fontId="5" fillId="17" borderId="29" xfId="18" applyNumberFormat="1" applyFill="1" applyBorder="1" applyAlignment="1">
      <alignment vertical="top"/>
    </xf>
    <xf numFmtId="164" fontId="5" fillId="25" borderId="29" xfId="18" applyNumberFormat="1" applyFill="1" applyBorder="1" applyAlignment="1">
      <alignment vertical="top"/>
    </xf>
    <xf numFmtId="0" fontId="5" fillId="27" borderId="24" xfId="18" applyFill="1" applyBorder="1" applyAlignment="1">
      <alignment vertical="top"/>
    </xf>
    <xf numFmtId="164" fontId="27" fillId="25" borderId="29" xfId="18" applyNumberFormat="1" applyFont="1" applyFill="1" applyBorder="1" applyAlignment="1">
      <alignment vertical="top"/>
    </xf>
    <xf numFmtId="0" fontId="7" fillId="28" borderId="29" xfId="18" applyFont="1" applyFill="1" applyBorder="1" applyAlignment="1" applyProtection="1">
      <alignment horizontal="center" vertical="top"/>
      <protection locked="0"/>
    </xf>
    <xf numFmtId="0" fontId="30" fillId="0" borderId="0" xfId="0" applyFont="1" applyAlignment="1">
      <alignment vertical="top"/>
    </xf>
    <xf numFmtId="0" fontId="26" fillId="0" borderId="0" xfId="0" applyFont="1" applyAlignment="1">
      <alignment horizontal="center" vertical="top"/>
    </xf>
    <xf numFmtId="0" fontId="0" fillId="17" borderId="37" xfId="0" applyFill="1" applyBorder="1" applyAlignment="1">
      <alignment vertical="top"/>
    </xf>
    <xf numFmtId="0" fontId="0" fillId="17" borderId="38" xfId="0" applyFill="1" applyBorder="1" applyAlignment="1">
      <alignment vertical="top"/>
    </xf>
    <xf numFmtId="0" fontId="0" fillId="17" borderId="32" xfId="0" applyFill="1" applyBorder="1" applyAlignment="1">
      <alignment vertical="top"/>
    </xf>
    <xf numFmtId="0" fontId="0" fillId="17" borderId="39" xfId="0" applyFill="1" applyBorder="1" applyAlignment="1">
      <alignment vertical="top"/>
    </xf>
    <xf numFmtId="0" fontId="7" fillId="25" borderId="34" xfId="0" applyFont="1" applyFill="1" applyBorder="1" applyAlignment="1">
      <alignment horizontal="center" vertical="top"/>
    </xf>
    <xf numFmtId="0" fontId="7" fillId="13" borderId="0" xfId="0" applyFont="1" applyFill="1" applyAlignment="1">
      <alignment vertical="top"/>
    </xf>
    <xf numFmtId="0" fontId="35" fillId="13" borderId="0" xfId="0" applyFont="1" applyFill="1" applyAlignment="1">
      <alignment vertical="top"/>
    </xf>
    <xf numFmtId="0" fontId="60" fillId="17" borderId="8" xfId="0" applyFont="1" applyFill="1" applyBorder="1" applyAlignment="1">
      <alignment vertical="top"/>
    </xf>
    <xf numFmtId="0" fontId="0" fillId="0" borderId="42" xfId="0" applyBorder="1" applyAlignment="1">
      <alignment vertical="top"/>
    </xf>
    <xf numFmtId="0" fontId="0" fillId="0" borderId="36" xfId="0" applyBorder="1" applyAlignment="1">
      <alignment vertical="top"/>
    </xf>
    <xf numFmtId="0" fontId="0" fillId="0" borderId="37" xfId="0" applyBorder="1" applyAlignment="1">
      <alignment vertical="top"/>
    </xf>
    <xf numFmtId="0" fontId="0" fillId="0" borderId="35" xfId="0" applyBorder="1" applyAlignment="1">
      <alignment vertical="top"/>
    </xf>
    <xf numFmtId="14" fontId="0" fillId="0" borderId="32" xfId="0" applyNumberFormat="1" applyBorder="1" applyAlignment="1">
      <alignment horizontal="left" vertical="top"/>
    </xf>
    <xf numFmtId="0" fontId="0" fillId="0" borderId="32" xfId="0" applyBorder="1" applyAlignment="1">
      <alignment vertical="top"/>
    </xf>
    <xf numFmtId="0" fontId="0" fillId="0" borderId="40" xfId="0" applyBorder="1" applyAlignment="1">
      <alignment vertical="top"/>
    </xf>
    <xf numFmtId="0" fontId="0" fillId="0" borderId="41" xfId="0" applyBorder="1" applyAlignment="1">
      <alignment vertical="top"/>
    </xf>
    <xf numFmtId="0" fontId="10" fillId="0" borderId="7" xfId="0" applyFont="1" applyBorder="1" applyAlignment="1">
      <alignment horizontal="center" vertical="top" wrapText="1"/>
    </xf>
    <xf numFmtId="0" fontId="10" fillId="0" borderId="21" xfId="0" applyFont="1" applyBorder="1" applyAlignment="1">
      <alignment horizontal="center" vertical="top" wrapText="1"/>
    </xf>
    <xf numFmtId="0" fontId="5" fillId="26" borderId="0" xfId="18" applyFill="1"/>
    <xf numFmtId="0" fontId="55" fillId="13" borderId="0" xfId="0" applyFont="1" applyFill="1" applyAlignment="1">
      <alignment horizontal="left" vertical="top" wrapText="1"/>
    </xf>
    <xf numFmtId="0" fontId="7" fillId="23" borderId="13" xfId="0" applyFont="1" applyFill="1" applyBorder="1" applyAlignment="1">
      <alignment horizontal="left" vertical="center" wrapText="1" indent="1"/>
    </xf>
    <xf numFmtId="0" fontId="43" fillId="13" borderId="0" xfId="0" applyFont="1" applyFill="1" applyAlignment="1">
      <alignment horizontal="left" vertical="top" wrapText="1"/>
    </xf>
    <xf numFmtId="0" fontId="49" fillId="13" borderId="0" xfId="0" applyFont="1" applyFill="1" applyAlignment="1">
      <alignment horizontal="left" vertical="top" wrapText="1"/>
    </xf>
    <xf numFmtId="0" fontId="56" fillId="13" borderId="0" xfId="0" applyFont="1" applyFill="1" applyAlignment="1">
      <alignment horizontal="left" vertical="top" wrapText="1"/>
    </xf>
    <xf numFmtId="0" fontId="54" fillId="13" borderId="0" xfId="0" applyFont="1" applyFill="1" applyAlignment="1">
      <alignment horizontal="left" vertical="top" wrapText="1" indent="2"/>
    </xf>
    <xf numFmtId="0" fontId="52" fillId="15" borderId="0" xfId="0" applyFont="1" applyFill="1" applyAlignment="1">
      <alignment horizontal="left" vertical="center" wrapText="1"/>
    </xf>
    <xf numFmtId="0" fontId="8" fillId="13" borderId="0" xfId="18" applyFont="1" applyFill="1" applyAlignment="1">
      <alignment horizontal="left" vertical="top" wrapText="1"/>
    </xf>
    <xf numFmtId="0" fontId="14" fillId="13" borderId="0" xfId="18" applyFont="1" applyFill="1" applyAlignment="1">
      <alignment horizontal="left" vertical="top" wrapText="1"/>
    </xf>
    <xf numFmtId="0" fontId="49" fillId="13" borderId="27" xfId="18" applyFont="1" applyFill="1" applyBorder="1" applyAlignment="1">
      <alignment horizontal="left" vertical="top" wrapText="1"/>
    </xf>
    <xf numFmtId="0" fontId="7" fillId="13" borderId="30" xfId="18" applyFont="1" applyFill="1" applyBorder="1" applyAlignment="1">
      <alignment horizontal="left" vertical="top" wrapText="1"/>
    </xf>
    <xf numFmtId="0" fontId="29" fillId="0" borderId="0" xfId="0" applyFont="1" applyAlignment="1">
      <alignment horizontal="left" vertical="top" wrapText="1"/>
    </xf>
    <xf numFmtId="0" fontId="7" fillId="0" borderId="0" xfId="0" applyFont="1" applyAlignment="1">
      <alignment horizontal="left" vertical="top" wrapText="1"/>
    </xf>
    <xf numFmtId="0" fontId="13" fillId="13" borderId="0" xfId="18" applyFont="1" applyFill="1" applyAlignment="1">
      <alignment horizontal="left" vertical="top" wrapText="1"/>
    </xf>
    <xf numFmtId="0" fontId="14" fillId="13" borderId="0" xfId="0" applyFont="1" applyFill="1" applyAlignment="1">
      <alignment horizontal="left" vertical="top" wrapText="1"/>
    </xf>
    <xf numFmtId="0" fontId="10" fillId="0" borderId="7" xfId="0" applyFont="1" applyBorder="1" applyAlignment="1">
      <alignment horizontal="left" vertical="top" wrapText="1"/>
    </xf>
    <xf numFmtId="0" fontId="10" fillId="0" borderId="21" xfId="0" applyFont="1" applyBorder="1" applyAlignment="1">
      <alignment horizontal="left" vertical="top" wrapText="1"/>
    </xf>
    <xf numFmtId="0" fontId="5" fillId="17" borderId="0" xfId="0" applyFont="1" applyFill="1" applyAlignment="1">
      <alignment horizontal="left"/>
    </xf>
    <xf numFmtId="0" fontId="0" fillId="0" borderId="0" xfId="0" applyAlignment="1">
      <alignment horizontal="left" vertical="top"/>
    </xf>
    <xf numFmtId="0" fontId="7" fillId="13" borderId="0" xfId="0" applyFont="1" applyFill="1" applyAlignment="1">
      <alignment horizontal="left" vertical="top"/>
    </xf>
    <xf numFmtId="0" fontId="35" fillId="13" borderId="0" xfId="0" applyFont="1" applyFill="1" applyAlignment="1">
      <alignment horizontal="left" vertical="top"/>
    </xf>
    <xf numFmtId="0" fontId="71" fillId="13" borderId="0" xfId="0" applyFont="1" applyFill="1" applyAlignment="1">
      <alignment horizontal="left" vertical="top" wrapText="1"/>
    </xf>
    <xf numFmtId="0" fontId="7" fillId="0" borderId="0" xfId="18" applyFont="1" applyAlignment="1">
      <alignment horizontal="left"/>
    </xf>
    <xf numFmtId="0" fontId="59" fillId="13" borderId="33" xfId="18" applyFont="1" applyFill="1" applyBorder="1" applyAlignment="1">
      <alignment horizontal="left" vertical="top" wrapText="1"/>
    </xf>
    <xf numFmtId="0" fontId="14" fillId="13" borderId="33" xfId="0" applyFont="1" applyFill="1" applyBorder="1" applyAlignment="1">
      <alignment horizontal="left" vertical="top" wrapText="1"/>
    </xf>
    <xf numFmtId="0" fontId="7" fillId="13" borderId="7" xfId="18" applyFont="1" applyFill="1" applyBorder="1" applyAlignment="1">
      <alignment horizontal="left" vertical="top" wrapText="1"/>
    </xf>
    <xf numFmtId="0" fontId="5" fillId="13" borderId="7" xfId="18" applyFill="1" applyBorder="1" applyAlignment="1">
      <alignment horizontal="left" vertical="top" wrapText="1"/>
    </xf>
    <xf numFmtId="0" fontId="10" fillId="0" borderId="7" xfId="18" applyFont="1" applyBorder="1" applyAlignment="1">
      <alignment horizontal="left" vertical="top" wrapText="1"/>
    </xf>
    <xf numFmtId="0" fontId="10" fillId="0" borderId="7" xfId="18" applyFont="1" applyBorder="1" applyAlignment="1">
      <alignment horizontal="left" vertical="top"/>
    </xf>
    <xf numFmtId="0" fontId="9" fillId="0" borderId="7" xfId="18" applyFont="1" applyBorder="1" applyAlignment="1">
      <alignment horizontal="left" vertical="top"/>
    </xf>
    <xf numFmtId="0" fontId="48" fillId="0" borderId="0" xfId="18" applyFont="1" applyAlignment="1">
      <alignment horizontal="left" vertical="top" wrapText="1"/>
    </xf>
    <xf numFmtId="0" fontId="59" fillId="13" borderId="0" xfId="18" applyFont="1" applyFill="1" applyAlignment="1">
      <alignment horizontal="left" vertical="top" wrapText="1"/>
    </xf>
    <xf numFmtId="0" fontId="13" fillId="13" borderId="0" xfId="18" applyFont="1" applyFill="1" applyAlignment="1">
      <alignment horizontal="left" vertical="top"/>
    </xf>
    <xf numFmtId="0" fontId="5" fillId="25" borderId="0" xfId="0" applyFont="1" applyFill="1" applyAlignment="1">
      <alignment horizontal="left"/>
    </xf>
    <xf numFmtId="0" fontId="72" fillId="25" borderId="0" xfId="0" applyFont="1" applyFill="1" applyAlignment="1">
      <alignment vertical="center"/>
    </xf>
    <xf numFmtId="0" fontId="73" fillId="0" borderId="0" xfId="0" applyFont="1" applyAlignment="1">
      <alignment vertical="center" wrapText="1"/>
    </xf>
    <xf numFmtId="0" fontId="13" fillId="29" borderId="0" xfId="0" applyFont="1" applyFill="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5" fillId="29" borderId="0" xfId="0" applyFont="1" applyFill="1" applyAlignment="1">
      <alignment vertical="center" wrapText="1"/>
    </xf>
    <xf numFmtId="0" fontId="5" fillId="0" borderId="43" xfId="0" applyFont="1" applyBorder="1" applyAlignment="1">
      <alignment vertical="center" wrapText="1"/>
    </xf>
    <xf numFmtId="0" fontId="5" fillId="0" borderId="13" xfId="0" applyFont="1" applyBorder="1" applyAlignment="1">
      <alignment vertical="center" wrapText="1"/>
    </xf>
    <xf numFmtId="0" fontId="5" fillId="0" borderId="44" xfId="0" applyFont="1" applyBorder="1" applyAlignment="1">
      <alignment vertical="center" wrapText="1"/>
    </xf>
    <xf numFmtId="0" fontId="13" fillId="0" borderId="0" xfId="0" applyFont="1" applyAlignment="1">
      <alignment vertical="center" wrapText="1"/>
    </xf>
    <xf numFmtId="0" fontId="35" fillId="29" borderId="0" xfId="0" applyFont="1" applyFill="1" applyAlignment="1">
      <alignment vertical="center" wrapText="1"/>
    </xf>
    <xf numFmtId="0" fontId="74" fillId="0" borderId="0" xfId="0" applyFont="1" applyAlignment="1">
      <alignment vertical="center" wrapText="1"/>
    </xf>
    <xf numFmtId="0" fontId="5" fillId="30" borderId="45" xfId="0" applyFont="1" applyFill="1" applyBorder="1" applyAlignment="1">
      <alignment vertical="center" wrapText="1"/>
    </xf>
    <xf numFmtId="0" fontId="37" fillId="0" borderId="0" xfId="0" applyFont="1" applyAlignment="1">
      <alignment vertical="center" wrapText="1"/>
    </xf>
    <xf numFmtId="0" fontId="5" fillId="30" borderId="0" xfId="0" applyFont="1" applyFill="1" applyAlignment="1">
      <alignment vertical="center" wrapText="1"/>
    </xf>
    <xf numFmtId="0" fontId="39" fillId="0" borderId="0" xfId="0" applyFont="1" applyAlignment="1">
      <alignment vertical="center" wrapText="1"/>
    </xf>
    <xf numFmtId="0" fontId="7" fillId="29" borderId="0" xfId="0" applyFont="1" applyFill="1" applyAlignment="1">
      <alignment vertical="center" wrapText="1"/>
    </xf>
    <xf numFmtId="0" fontId="75" fillId="29" borderId="0" xfId="0" applyFont="1" applyFill="1" applyAlignment="1">
      <alignment vertical="center" wrapText="1"/>
    </xf>
    <xf numFmtId="0" fontId="76" fillId="29" borderId="42" xfId="0" applyFont="1" applyFill="1" applyBorder="1" applyAlignment="1">
      <alignment vertical="center" wrapText="1"/>
    </xf>
    <xf numFmtId="0" fontId="77" fillId="31" borderId="0" xfId="0" applyFont="1" applyFill="1" applyAlignment="1">
      <alignment vertical="center" wrapText="1"/>
    </xf>
    <xf numFmtId="0" fontId="78" fillId="29" borderId="0" xfId="0" applyFont="1" applyFill="1" applyAlignment="1">
      <alignment vertical="center" wrapText="1"/>
    </xf>
    <xf numFmtId="0" fontId="10" fillId="29" borderId="13" xfId="0" applyFont="1" applyFill="1" applyBorder="1" applyAlignment="1">
      <alignment vertical="center" wrapText="1"/>
    </xf>
    <xf numFmtId="0" fontId="10" fillId="29" borderId="44" xfId="0" applyFont="1" applyFill="1" applyBorder="1" applyAlignment="1">
      <alignment vertical="center" wrapText="1"/>
    </xf>
    <xf numFmtId="0" fontId="79" fillId="29" borderId="0" xfId="0" applyFont="1" applyFill="1" applyAlignment="1">
      <alignment vertical="center" wrapText="1"/>
    </xf>
    <xf numFmtId="0" fontId="64" fillId="0" borderId="0" xfId="0" applyFont="1" applyAlignment="1">
      <alignment vertical="top" wrapText="1"/>
    </xf>
    <xf numFmtId="0" fontId="80" fillId="29" borderId="0" xfId="0" applyFont="1" applyFill="1" applyAlignment="1">
      <alignment vertical="center" wrapText="1"/>
    </xf>
    <xf numFmtId="0" fontId="27" fillId="29" borderId="0" xfId="0" applyFont="1" applyFill="1" applyAlignment="1">
      <alignment vertical="center" wrapText="1"/>
    </xf>
    <xf numFmtId="0" fontId="10" fillId="0" borderId="0" xfId="0" applyFont="1" applyAlignment="1">
      <alignment vertical="center" wrapText="1"/>
    </xf>
    <xf numFmtId="0" fontId="81" fillId="29" borderId="0" xfId="0" applyFont="1" applyFill="1" applyAlignment="1">
      <alignment vertical="center" wrapText="1"/>
    </xf>
    <xf numFmtId="0" fontId="82" fillId="29" borderId="0" xfId="0" applyFont="1" applyFill="1" applyAlignment="1">
      <alignment vertical="center" wrapText="1"/>
    </xf>
    <xf numFmtId="0" fontId="7" fillId="29" borderId="42" xfId="0" applyFont="1" applyFill="1" applyBorder="1" applyAlignment="1">
      <alignment vertical="center" wrapText="1"/>
    </xf>
    <xf numFmtId="0" fontId="81" fillId="0" borderId="0" xfId="0" applyFont="1" applyAlignment="1">
      <alignment vertical="center" wrapText="1"/>
    </xf>
    <xf numFmtId="0" fontId="10" fillId="0" borderId="13" xfId="0" applyFont="1" applyBorder="1" applyAlignment="1">
      <alignment vertical="center" wrapText="1"/>
    </xf>
    <xf numFmtId="0" fontId="10" fillId="0" borderId="44" xfId="0" applyFont="1" applyBorder="1" applyAlignment="1">
      <alignment vertical="center" wrapText="1"/>
    </xf>
    <xf numFmtId="0" fontId="83" fillId="29" borderId="0" xfId="0" applyFont="1" applyFill="1" applyAlignment="1">
      <alignment vertical="center" wrapText="1"/>
    </xf>
    <xf numFmtId="0" fontId="84" fillId="29" borderId="0" xfId="0" applyFont="1" applyFill="1" applyAlignment="1">
      <alignment vertical="center" wrapText="1"/>
    </xf>
    <xf numFmtId="0" fontId="78" fillId="0" borderId="42" xfId="0" applyFont="1" applyBorder="1" applyAlignment="1">
      <alignment vertical="center" wrapText="1"/>
    </xf>
    <xf numFmtId="0" fontId="9" fillId="0" borderId="13" xfId="0" applyFont="1" applyBorder="1" applyAlignment="1">
      <alignment vertical="center" wrapText="1"/>
    </xf>
    <xf numFmtId="0" fontId="9" fillId="0" borderId="44" xfId="0" applyFont="1" applyBorder="1" applyAlignment="1">
      <alignment vertical="center" wrapText="1"/>
    </xf>
    <xf numFmtId="0" fontId="81" fillId="29" borderId="42" xfId="0" applyFont="1" applyFill="1" applyBorder="1" applyAlignment="1">
      <alignment vertical="center" wrapText="1"/>
    </xf>
    <xf numFmtId="0" fontId="45" fillId="0" borderId="42" xfId="0" applyFont="1" applyBorder="1" applyAlignment="1">
      <alignment vertical="center" wrapText="1"/>
    </xf>
    <xf numFmtId="0" fontId="45" fillId="29" borderId="0" xfId="0" applyFont="1" applyFill="1" applyAlignment="1">
      <alignment vertical="center" wrapText="1"/>
    </xf>
    <xf numFmtId="0" fontId="34" fillId="0" borderId="13" xfId="0" applyFont="1" applyBorder="1" applyAlignment="1">
      <alignment vertical="center" wrapText="1"/>
    </xf>
    <xf numFmtId="0" fontId="10" fillId="0" borderId="45" xfId="0" applyFont="1" applyBorder="1" applyAlignment="1">
      <alignment vertical="center" wrapText="1"/>
    </xf>
    <xf numFmtId="0" fontId="5" fillId="0" borderId="42" xfId="0" applyFont="1" applyBorder="1" applyAlignment="1">
      <alignment vertical="center" wrapText="1"/>
    </xf>
    <xf numFmtId="0" fontId="5" fillId="0" borderId="14" xfId="0" applyFont="1" applyBorder="1" applyAlignment="1">
      <alignment vertical="center" wrapText="1"/>
    </xf>
    <xf numFmtId="0" fontId="79" fillId="0" borderId="0" xfId="0" applyFont="1" applyAlignment="1">
      <alignment vertical="center" wrapText="1"/>
    </xf>
    <xf numFmtId="0" fontId="76" fillId="29" borderId="0" xfId="0" applyFont="1" applyFill="1" applyAlignment="1">
      <alignment vertical="center" wrapText="1"/>
    </xf>
    <xf numFmtId="0" fontId="34" fillId="29" borderId="13" xfId="0" applyFont="1" applyFill="1" applyBorder="1" applyAlignment="1">
      <alignment vertical="center" wrapText="1"/>
    </xf>
    <xf numFmtId="0" fontId="34" fillId="29" borderId="44" xfId="0" applyFont="1" applyFill="1" applyBorder="1" applyAlignment="1">
      <alignment vertical="center" wrapText="1"/>
    </xf>
    <xf numFmtId="0" fontId="9" fillId="29" borderId="44" xfId="0" applyFont="1" applyFill="1" applyBorder="1" applyAlignment="1">
      <alignment vertical="center" wrapText="1"/>
    </xf>
    <xf numFmtId="0" fontId="34" fillId="29" borderId="49" xfId="0" applyFont="1" applyFill="1" applyBorder="1" applyAlignment="1">
      <alignment vertical="center" wrapText="1"/>
    </xf>
    <xf numFmtId="0" fontId="5" fillId="25" borderId="0" xfId="0" applyFont="1" applyFill="1" applyAlignment="1">
      <alignment vertical="center" wrapText="1"/>
    </xf>
    <xf numFmtId="0" fontId="5" fillId="25" borderId="42" xfId="0" applyFont="1" applyFill="1" applyBorder="1" applyAlignment="1">
      <alignment vertical="center" wrapText="1"/>
    </xf>
    <xf numFmtId="0" fontId="85" fillId="25" borderId="0" xfId="0" applyFont="1" applyFill="1" applyAlignment="1">
      <alignment vertical="center" wrapText="1"/>
    </xf>
    <xf numFmtId="0" fontId="5" fillId="26" borderId="0" xfId="0" applyFont="1" applyFill="1" applyAlignment="1">
      <alignment vertical="center" wrapText="1"/>
    </xf>
    <xf numFmtId="0" fontId="35" fillId="0" borderId="0" xfId="0" applyFont="1" applyAlignment="1">
      <alignment vertical="center" wrapText="1"/>
    </xf>
    <xf numFmtId="0" fontId="7" fillId="0" borderId="42" xfId="0" applyFont="1" applyBorder="1" applyAlignment="1">
      <alignment vertical="center" wrapText="1"/>
    </xf>
    <xf numFmtId="0" fontId="86" fillId="26" borderId="0" xfId="0" applyFont="1" applyFill="1" applyAlignment="1">
      <alignment vertical="center" wrapText="1"/>
    </xf>
    <xf numFmtId="0" fontId="25" fillId="0" borderId="30" xfId="19" applyFont="1" applyBorder="1" applyAlignment="1">
      <alignment horizontal="center" vertical="top"/>
    </xf>
    <xf numFmtId="0" fontId="87" fillId="0" borderId="0" xfId="18" applyFont="1" applyAlignment="1">
      <alignment wrapText="1"/>
    </xf>
    <xf numFmtId="164" fontId="5" fillId="28" borderId="29" xfId="18" quotePrefix="1" applyNumberFormat="1" applyFill="1" applyBorder="1" applyAlignment="1" applyProtection="1">
      <alignment vertical="top"/>
      <protection locked="0"/>
    </xf>
    <xf numFmtId="0" fontId="87" fillId="0" borderId="0" xfId="18" applyFont="1" applyAlignment="1">
      <alignment horizontal="left" vertical="top"/>
    </xf>
    <xf numFmtId="0" fontId="0" fillId="17" borderId="42" xfId="0" applyFill="1" applyBorder="1" applyAlignment="1">
      <alignment vertical="top"/>
    </xf>
    <xf numFmtId="0" fontId="0" fillId="17" borderId="51" xfId="0" applyFill="1" applyBorder="1" applyAlignment="1">
      <alignment vertical="top"/>
    </xf>
    <xf numFmtId="0" fontId="0" fillId="32" borderId="0" xfId="0" applyFill="1" applyAlignment="1">
      <alignment vertical="top"/>
    </xf>
    <xf numFmtId="0" fontId="0" fillId="32" borderId="0" xfId="0" applyFill="1" applyAlignment="1">
      <alignment vertical="top" wrapText="1"/>
    </xf>
    <xf numFmtId="0" fontId="13" fillId="13" borderId="0" xfId="0" applyFont="1" applyFill="1" applyAlignment="1">
      <alignment vertical="top"/>
    </xf>
    <xf numFmtId="0" fontId="0" fillId="0" borderId="57" xfId="0" applyBorder="1" applyAlignment="1">
      <alignment vertical="top"/>
    </xf>
    <xf numFmtId="0" fontId="0" fillId="0" borderId="8" xfId="0" applyBorder="1" applyAlignment="1">
      <alignment vertical="top"/>
    </xf>
    <xf numFmtId="0" fontId="0" fillId="0" borderId="58" xfId="0" applyBorder="1" applyAlignment="1">
      <alignment vertical="top"/>
    </xf>
    <xf numFmtId="0" fontId="90" fillId="17" borderId="8" xfId="0" applyFont="1" applyFill="1" applyBorder="1" applyAlignment="1">
      <alignment vertical="top"/>
    </xf>
    <xf numFmtId="0" fontId="7" fillId="32" borderId="0" xfId="0" applyFont="1" applyFill="1" applyAlignment="1">
      <alignment horizontal="center" vertical="top"/>
    </xf>
    <xf numFmtId="0" fontId="39" fillId="32" borderId="0" xfId="0" applyFont="1" applyFill="1" applyAlignment="1">
      <alignment vertical="top" wrapText="1"/>
    </xf>
    <xf numFmtId="0" fontId="0" fillId="32" borderId="0" xfId="0" applyFill="1"/>
    <xf numFmtId="0" fontId="87" fillId="0" borderId="0" xfId="0" applyFont="1"/>
    <xf numFmtId="0" fontId="5" fillId="32" borderId="0" xfId="18" applyFill="1"/>
    <xf numFmtId="0" fontId="32" fillId="32" borderId="0" xfId="18" applyFont="1" applyFill="1" applyAlignment="1">
      <alignment vertical="top" wrapText="1"/>
    </xf>
    <xf numFmtId="0" fontId="7" fillId="32" borderId="0" xfId="18" applyFont="1" applyFill="1" applyAlignment="1">
      <alignment horizontal="left" vertical="top"/>
    </xf>
    <xf numFmtId="0" fontId="9" fillId="32" borderId="0" xfId="18" applyFont="1" applyFill="1" applyAlignment="1">
      <alignment horizontal="left" vertical="top"/>
    </xf>
    <xf numFmtId="0" fontId="0" fillId="17" borderId="30" xfId="0" applyFill="1" applyBorder="1" applyAlignment="1">
      <alignment vertical="top"/>
    </xf>
    <xf numFmtId="0" fontId="0" fillId="17" borderId="60" xfId="0" applyFill="1" applyBorder="1" applyAlignment="1">
      <alignment vertical="top"/>
    </xf>
    <xf numFmtId="0" fontId="10" fillId="28" borderId="29" xfId="0" applyFont="1" applyFill="1" applyBorder="1" applyAlignment="1" applyProtection="1">
      <alignment vertical="top"/>
      <protection locked="0"/>
    </xf>
    <xf numFmtId="1" fontId="10" fillId="28" borderId="29" xfId="0" applyNumberFormat="1" applyFont="1" applyFill="1" applyBorder="1" applyAlignment="1" applyProtection="1">
      <alignment horizontal="center" vertical="top"/>
      <protection locked="0"/>
    </xf>
    <xf numFmtId="0" fontId="87" fillId="0" borderId="0" xfId="18" applyFont="1" applyAlignment="1">
      <alignment vertical="top"/>
    </xf>
    <xf numFmtId="0" fontId="0" fillId="0" borderId="0" xfId="0" applyAlignment="1">
      <alignment horizontal="left" vertical="top" wrapText="1"/>
    </xf>
    <xf numFmtId="0" fontId="5" fillId="13" borderId="0" xfId="0" applyFont="1" applyFill="1" applyAlignment="1">
      <alignment horizontal="left" vertical="top" wrapText="1"/>
    </xf>
    <xf numFmtId="0" fontId="7" fillId="27" borderId="0" xfId="0" applyFont="1" applyFill="1" applyAlignment="1">
      <alignment horizontal="center" vertical="top"/>
    </xf>
    <xf numFmtId="0" fontId="5" fillId="27" borderId="0" xfId="0" applyFont="1" applyFill="1" applyAlignment="1">
      <alignment horizontal="left" vertical="top"/>
    </xf>
    <xf numFmtId="0" fontId="5" fillId="13" borderId="0" xfId="0" quotePrefix="1" applyFont="1" applyFill="1" applyAlignment="1">
      <alignment horizontal="right" vertical="top"/>
    </xf>
    <xf numFmtId="0" fontId="5" fillId="13" borderId="0" xfId="0" applyFont="1" applyFill="1"/>
    <xf numFmtId="0" fontId="5" fillId="13" borderId="0" xfId="0" applyFont="1" applyFill="1" applyAlignment="1">
      <alignment horizontal="center" vertical="top" wrapText="1"/>
    </xf>
    <xf numFmtId="0" fontId="7" fillId="13" borderId="0" xfId="0" applyFont="1" applyFill="1"/>
    <xf numFmtId="0" fontId="39" fillId="13" borderId="0" xfId="14" applyFont="1" applyFill="1" applyAlignment="1" applyProtection="1"/>
    <xf numFmtId="0" fontId="5" fillId="16" borderId="0" xfId="0" applyFont="1" applyFill="1"/>
    <xf numFmtId="0" fontId="5" fillId="0" borderId="0" xfId="0" applyFont="1" applyAlignment="1">
      <alignment horizontal="center" vertical="top" wrapText="1"/>
    </xf>
    <xf numFmtId="0" fontId="88" fillId="35" borderId="0" xfId="18" applyFont="1" applyFill="1" applyAlignment="1">
      <alignment vertical="top"/>
    </xf>
    <xf numFmtId="0" fontId="5" fillId="34" borderId="0" xfId="18" applyFill="1" applyAlignment="1">
      <alignment vertical="top"/>
    </xf>
    <xf numFmtId="0" fontId="5" fillId="28" borderId="0" xfId="18" applyFill="1" applyProtection="1">
      <protection locked="0"/>
    </xf>
    <xf numFmtId="0" fontId="51" fillId="27" borderId="0" xfId="0" applyFont="1" applyFill="1" applyAlignment="1">
      <alignment horizontal="left" vertical="top" wrapText="1"/>
    </xf>
    <xf numFmtId="0" fontId="94" fillId="27" borderId="0" xfId="0" applyFont="1" applyFill="1" applyAlignment="1">
      <alignment vertical="top"/>
    </xf>
    <xf numFmtId="0" fontId="94" fillId="27" borderId="0" xfId="0" applyFont="1" applyFill="1" applyAlignment="1">
      <alignment horizontal="right" vertical="top"/>
    </xf>
    <xf numFmtId="0" fontId="93" fillId="27" borderId="0" xfId="0" applyFont="1" applyFill="1" applyAlignment="1">
      <alignment horizontal="right" vertical="top"/>
    </xf>
    <xf numFmtId="0" fontId="94" fillId="27" borderId="0" xfId="0" applyFont="1" applyFill="1" applyAlignment="1">
      <alignment horizontal="left" vertical="top" indent="1"/>
    </xf>
    <xf numFmtId="0" fontId="0" fillId="25" borderId="0" xfId="0" applyFill="1"/>
    <xf numFmtId="0" fontId="5" fillId="27" borderId="0" xfId="0" applyFont="1" applyFill="1" applyAlignment="1">
      <alignment vertical="top"/>
    </xf>
    <xf numFmtId="0" fontId="7" fillId="17" borderId="36" xfId="0" applyFont="1" applyFill="1" applyBorder="1" applyAlignment="1">
      <alignment horizontal="left" vertical="top" indent="1"/>
    </xf>
    <xf numFmtId="0" fontId="7" fillId="25" borderId="35" xfId="0" applyFont="1" applyFill="1" applyBorder="1" applyAlignment="1">
      <alignment horizontal="left" vertical="top" indent="1"/>
    </xf>
    <xf numFmtId="0" fontId="7" fillId="17" borderId="59" xfId="0" applyFont="1" applyFill="1" applyBorder="1" applyAlignment="1">
      <alignment horizontal="left" vertical="top" indent="1"/>
    </xf>
    <xf numFmtId="0" fontId="7" fillId="25" borderId="44" xfId="0" applyFont="1" applyFill="1" applyBorder="1" applyAlignment="1">
      <alignment horizontal="left" vertical="top" indent="1"/>
    </xf>
    <xf numFmtId="0" fontId="5" fillId="27" borderId="0" xfId="0" applyFont="1" applyFill="1" applyAlignment="1">
      <alignment horizontal="left" vertical="top" wrapText="1"/>
    </xf>
    <xf numFmtId="0" fontId="5" fillId="32" borderId="0" xfId="0" applyFont="1" applyFill="1" applyAlignment="1">
      <alignment vertical="top"/>
    </xf>
    <xf numFmtId="0" fontId="7" fillId="27" borderId="0" xfId="0" applyFont="1" applyFill="1" applyAlignment="1">
      <alignment horizontal="left" vertical="top"/>
    </xf>
    <xf numFmtId="0" fontId="5" fillId="27" borderId="0" xfId="0" applyFont="1" applyFill="1" applyAlignment="1">
      <alignment horizontal="right" vertical="top"/>
    </xf>
    <xf numFmtId="0" fontId="5" fillId="27" borderId="29" xfId="0" applyFont="1" applyFill="1" applyBorder="1" applyAlignment="1">
      <alignment horizontal="left" vertical="top" indent="1"/>
    </xf>
    <xf numFmtId="0" fontId="5" fillId="27" borderId="0" xfId="0" applyFont="1" applyFill="1" applyAlignment="1">
      <alignment horizontal="left" vertical="top" indent="1"/>
    </xf>
    <xf numFmtId="0" fontId="35" fillId="27" borderId="0" xfId="0" applyFont="1" applyFill="1" applyAlignment="1">
      <alignment vertical="top"/>
    </xf>
    <xf numFmtId="0" fontId="7" fillId="27" borderId="0" xfId="0" applyFont="1" applyFill="1" applyAlignment="1">
      <alignment horizontal="right" vertical="top"/>
    </xf>
    <xf numFmtId="0" fontId="5" fillId="28" borderId="29" xfId="0" applyFont="1" applyFill="1" applyBorder="1" applyAlignment="1" applyProtection="1">
      <alignment horizontal="center" vertical="top"/>
      <protection locked="0"/>
    </xf>
    <xf numFmtId="0" fontId="5" fillId="28" borderId="29" xfId="0" applyFont="1" applyFill="1" applyBorder="1" applyAlignment="1" applyProtection="1">
      <alignment vertical="top"/>
      <protection locked="0"/>
    </xf>
    <xf numFmtId="0" fontId="5" fillId="28" borderId="20" xfId="0" applyFont="1" applyFill="1" applyBorder="1" applyAlignment="1" applyProtection="1">
      <alignment horizontal="center" vertical="top"/>
      <protection locked="0"/>
    </xf>
    <xf numFmtId="0" fontId="5" fillId="28" borderId="20" xfId="0" applyFont="1" applyFill="1" applyBorder="1" applyAlignment="1" applyProtection="1">
      <alignment vertical="top"/>
      <protection locked="0"/>
    </xf>
    <xf numFmtId="0" fontId="5" fillId="25" borderId="29" xfId="0" applyFont="1" applyFill="1" applyBorder="1" applyAlignment="1">
      <alignment horizontal="center" vertical="top"/>
    </xf>
    <xf numFmtId="167" fontId="5" fillId="25" borderId="29" xfId="0" applyNumberFormat="1" applyFont="1" applyFill="1" applyBorder="1" applyAlignment="1">
      <alignment horizontal="center" vertical="top"/>
    </xf>
    <xf numFmtId="3" fontId="5" fillId="28" borderId="29" xfId="0" applyNumberFormat="1" applyFont="1" applyFill="1" applyBorder="1" applyAlignment="1" applyProtection="1">
      <alignment horizontal="center" vertical="top"/>
      <protection locked="0"/>
    </xf>
    <xf numFmtId="167" fontId="5" fillId="28" borderId="29" xfId="0" applyNumberFormat="1" applyFont="1" applyFill="1" applyBorder="1" applyAlignment="1" applyProtection="1">
      <alignment horizontal="center" vertical="top"/>
      <protection locked="0"/>
    </xf>
    <xf numFmtId="0" fontId="5" fillId="32" borderId="0" xfId="18" applyFill="1" applyAlignment="1">
      <alignment vertical="top"/>
    </xf>
    <xf numFmtId="168" fontId="5" fillId="28" borderId="29" xfId="18" applyNumberFormat="1" applyFill="1" applyBorder="1" applyAlignment="1" applyProtection="1">
      <alignment vertical="top" wrapText="1"/>
      <protection locked="0"/>
    </xf>
    <xf numFmtId="0" fontId="5" fillId="32" borderId="0" xfId="18" applyFill="1" applyAlignment="1">
      <alignment vertical="top" wrapText="1"/>
    </xf>
    <xf numFmtId="0" fontId="8" fillId="32" borderId="0" xfId="18" applyFont="1" applyFill="1" applyAlignment="1">
      <alignment horizontal="left" vertical="top" wrapText="1"/>
    </xf>
    <xf numFmtId="0" fontId="0" fillId="32" borderId="0" xfId="0" applyFill="1" applyAlignment="1">
      <alignment horizontal="left" vertical="top" wrapText="1"/>
    </xf>
    <xf numFmtId="164" fontId="27" fillId="25" borderId="7" xfId="18" applyNumberFormat="1" applyFont="1" applyFill="1" applyBorder="1" applyAlignment="1">
      <alignment vertical="top"/>
    </xf>
    <xf numFmtId="164" fontId="100" fillId="22" borderId="66" xfId="18" applyNumberFormat="1" applyFont="1" applyFill="1" applyBorder="1" applyAlignment="1" applyProtection="1">
      <alignment vertical="top"/>
      <protection locked="0"/>
    </xf>
    <xf numFmtId="164" fontId="101" fillId="25" borderId="67" xfId="18" applyNumberFormat="1" applyFont="1" applyFill="1" applyBorder="1" applyAlignment="1">
      <alignment vertical="top"/>
    </xf>
    <xf numFmtId="164" fontId="10" fillId="27" borderId="7" xfId="18" applyNumberFormat="1" applyFont="1" applyFill="1" applyBorder="1" applyAlignment="1">
      <alignment vertical="top"/>
    </xf>
    <xf numFmtId="164" fontId="58" fillId="0" borderId="66" xfId="18" applyNumberFormat="1" applyFont="1" applyBorder="1" applyAlignment="1">
      <alignment vertical="top"/>
    </xf>
    <xf numFmtId="0" fontId="5" fillId="0" borderId="43" xfId="18" applyBorder="1" applyAlignment="1">
      <alignment vertical="top"/>
    </xf>
    <xf numFmtId="0" fontId="6" fillId="21" borderId="0" xfId="0" applyFont="1" applyFill="1" applyAlignment="1">
      <alignment vertical="top" wrapText="1"/>
    </xf>
    <xf numFmtId="0" fontId="7" fillId="33" borderId="34" xfId="0" applyFont="1" applyFill="1" applyBorder="1"/>
    <xf numFmtId="0" fontId="5" fillId="27" borderId="54" xfId="0" applyFont="1" applyFill="1" applyBorder="1" applyAlignment="1">
      <alignment horizontal="left" vertical="top" indent="1"/>
    </xf>
    <xf numFmtId="0" fontId="5" fillId="27" borderId="56" xfId="0" applyFont="1" applyFill="1" applyBorder="1" applyAlignment="1">
      <alignment horizontal="left" vertical="top" indent="1"/>
    </xf>
    <xf numFmtId="0" fontId="13" fillId="17" borderId="15" xfId="0" applyFont="1" applyFill="1" applyBorder="1" applyAlignment="1">
      <alignment vertical="center"/>
    </xf>
    <xf numFmtId="0" fontId="5" fillId="26" borderId="34" xfId="18" applyFill="1" applyBorder="1" applyAlignment="1">
      <alignment horizontal="center" vertical="top"/>
    </xf>
    <xf numFmtId="0" fontId="0" fillId="26" borderId="0" xfId="0" applyFill="1" applyAlignment="1">
      <alignment vertical="top"/>
    </xf>
    <xf numFmtId="0" fontId="0" fillId="26" borderId="29" xfId="0" applyFill="1" applyBorder="1" applyAlignment="1">
      <alignment vertical="top"/>
    </xf>
    <xf numFmtId="0" fontId="5" fillId="26" borderId="0" xfId="0" applyFont="1" applyFill="1" applyAlignment="1">
      <alignment vertical="top"/>
    </xf>
    <xf numFmtId="0" fontId="71" fillId="13" borderId="0" xfId="0" applyFont="1" applyFill="1" applyAlignment="1">
      <alignment horizontal="justify" vertical="top" wrapText="1"/>
    </xf>
    <xf numFmtId="0" fontId="108" fillId="0" borderId="0" xfId="0" applyFont="1" applyAlignment="1">
      <alignment horizontal="left" vertical="top"/>
    </xf>
    <xf numFmtId="0" fontId="113" fillId="0" borderId="0" xfId="0" applyFont="1" applyAlignment="1">
      <alignment horizontal="left" vertical="top" wrapText="1"/>
    </xf>
    <xf numFmtId="0" fontId="110" fillId="0" borderId="0" xfId="0" applyFont="1" applyAlignment="1">
      <alignment horizontal="left" vertical="top"/>
    </xf>
    <xf numFmtId="0" fontId="108" fillId="0" borderId="0" xfId="18" applyFont="1" applyAlignment="1">
      <alignment horizontal="left" vertical="top"/>
    </xf>
    <xf numFmtId="0" fontId="108" fillId="0" borderId="0" xfId="18" applyFont="1" applyAlignment="1">
      <alignment horizontal="left" vertical="top" wrapText="1"/>
    </xf>
    <xf numFmtId="0" fontId="113" fillId="0" borderId="0" xfId="18" applyFont="1" applyAlignment="1">
      <alignment horizontal="left" vertical="top" wrapText="1"/>
    </xf>
    <xf numFmtId="0" fontId="111" fillId="0" borderId="0" xfId="18" applyFont="1" applyAlignment="1">
      <alignment horizontal="left" vertical="top"/>
    </xf>
    <xf numFmtId="0" fontId="0" fillId="36" borderId="0" xfId="0" applyFill="1"/>
    <xf numFmtId="0" fontId="6" fillId="21" borderId="32" xfId="18" applyFont="1" applyFill="1" applyBorder="1" applyAlignment="1">
      <alignment horizontal="center" vertical="top"/>
    </xf>
    <xf numFmtId="0" fontId="7" fillId="13" borderId="0" xfId="18" applyFont="1" applyFill="1" applyAlignment="1">
      <alignment horizontal="center" vertical="top"/>
    </xf>
    <xf numFmtId="0" fontId="48" fillId="0" borderId="0" xfId="18" applyFont="1" applyAlignment="1">
      <alignment horizontal="center" vertical="top"/>
    </xf>
    <xf numFmtId="0" fontId="8" fillId="0" borderId="0" xfId="18" applyFont="1" applyAlignment="1">
      <alignment horizontal="center" vertical="top"/>
    </xf>
    <xf numFmtId="0" fontId="5" fillId="0" borderId="29" xfId="18" applyBorder="1" applyAlignment="1">
      <alignment vertical="top" wrapText="1"/>
    </xf>
    <xf numFmtId="14" fontId="5" fillId="0" borderId="29" xfId="18" applyNumberFormat="1" applyBorder="1" applyAlignment="1">
      <alignment horizontal="center" vertical="top" wrapText="1"/>
    </xf>
    <xf numFmtId="0" fontId="5" fillId="27" borderId="0" xfId="18" applyFill="1" applyAlignment="1">
      <alignment vertical="top"/>
    </xf>
    <xf numFmtId="0" fontId="7" fillId="27" borderId="0" xfId="18" applyFont="1" applyFill="1" applyAlignment="1">
      <alignment vertical="top"/>
    </xf>
    <xf numFmtId="0" fontId="5" fillId="27" borderId="29" xfId="0" applyFont="1" applyFill="1" applyBorder="1" applyAlignment="1">
      <alignment horizontal="center" vertical="top"/>
    </xf>
    <xf numFmtId="2" fontId="10" fillId="27" borderId="29" xfId="18" applyNumberFormat="1" applyFont="1" applyFill="1" applyBorder="1" applyAlignment="1">
      <alignment horizontal="right" vertical="top"/>
    </xf>
    <xf numFmtId="165" fontId="9" fillId="27" borderId="29" xfId="18" applyNumberFormat="1" applyFont="1" applyFill="1" applyBorder="1" applyAlignment="1">
      <alignment horizontal="center" vertical="top"/>
    </xf>
    <xf numFmtId="0" fontId="5" fillId="18" borderId="0" xfId="0" applyFont="1" applyFill="1"/>
    <xf numFmtId="0" fontId="7" fillId="13" borderId="0" xfId="0" applyFont="1" applyFill="1" applyAlignment="1">
      <alignment horizontal="left" vertical="top" wrapText="1"/>
    </xf>
    <xf numFmtId="0" fontId="5" fillId="0" borderId="0" xfId="0" applyFont="1" applyAlignment="1">
      <alignment horizontal="left" vertical="top" wrapText="1"/>
    </xf>
    <xf numFmtId="0" fontId="5" fillId="23" borderId="13" xfId="0" applyFont="1" applyFill="1" applyBorder="1" applyAlignment="1">
      <alignment horizontal="left" vertical="center" wrapText="1" indent="1"/>
    </xf>
    <xf numFmtId="0" fontId="8" fillId="27" borderId="0" xfId="0" applyFont="1" applyFill="1" applyAlignment="1">
      <alignment horizontal="left" vertical="top" wrapText="1"/>
    </xf>
    <xf numFmtId="0" fontId="99" fillId="13" borderId="0" xfId="0" applyFont="1" applyFill="1" applyAlignment="1">
      <alignment horizontal="left" vertical="top" wrapText="1"/>
    </xf>
    <xf numFmtId="0" fontId="9" fillId="0" borderId="7" xfId="18" applyFont="1" applyBorder="1" applyAlignment="1">
      <alignment horizontal="left" vertical="top" wrapText="1"/>
    </xf>
    <xf numFmtId="0" fontId="14" fillId="13" borderId="30" xfId="18" applyFont="1" applyFill="1" applyBorder="1" applyAlignment="1">
      <alignment horizontal="left" vertical="top" wrapText="1"/>
    </xf>
    <xf numFmtId="0" fontId="13" fillId="13" borderId="0" xfId="18" applyFont="1" applyFill="1" applyAlignment="1">
      <alignment horizontal="left" vertical="center" wrapText="1"/>
    </xf>
    <xf numFmtId="0" fontId="5" fillId="27" borderId="7" xfId="0" applyFont="1" applyFill="1" applyBorder="1" applyAlignment="1">
      <alignment horizontal="left" vertical="top"/>
    </xf>
    <xf numFmtId="0" fontId="50" fillId="13" borderId="0" xfId="0" applyFont="1" applyFill="1" applyAlignment="1">
      <alignment horizontal="left" vertical="top" wrapText="1"/>
    </xf>
    <xf numFmtId="0" fontId="97" fillId="27" borderId="0" xfId="0" applyFont="1" applyFill="1" applyAlignment="1">
      <alignment horizontal="left" vertical="top" wrapText="1"/>
    </xf>
    <xf numFmtId="0" fontId="95" fillId="13" borderId="0" xfId="0" applyFont="1" applyFill="1" applyAlignment="1">
      <alignment horizontal="left" vertical="top" wrapText="1"/>
    </xf>
    <xf numFmtId="166" fontId="5" fillId="27" borderId="7" xfId="0" applyNumberFormat="1" applyFont="1" applyFill="1" applyBorder="1" applyAlignment="1">
      <alignment horizontal="left" vertical="top"/>
    </xf>
    <xf numFmtId="0" fontId="91" fillId="0" borderId="0" xfId="0" applyFont="1" applyAlignment="1">
      <alignment horizontal="left" vertical="top" wrapText="1"/>
    </xf>
    <xf numFmtId="0" fontId="33" fillId="0" borderId="0" xfId="0" applyFont="1" applyAlignment="1">
      <alignment horizontal="left"/>
    </xf>
    <xf numFmtId="0" fontId="7" fillId="13" borderId="0" xfId="0" applyFont="1" applyFill="1" applyAlignment="1">
      <alignment horizontal="left"/>
    </xf>
    <xf numFmtId="0" fontId="96" fillId="13" borderId="31" xfId="0" applyFont="1" applyFill="1" applyBorder="1" applyAlignment="1">
      <alignment horizontal="left" vertical="top" wrapText="1"/>
    </xf>
    <xf numFmtId="0" fontId="5" fillId="27" borderId="21" xfId="0" applyFont="1" applyFill="1" applyBorder="1" applyAlignment="1">
      <alignment horizontal="left" vertical="top" wrapText="1"/>
    </xf>
    <xf numFmtId="0" fontId="5" fillId="27" borderId="45" xfId="0" applyFont="1" applyFill="1" applyBorder="1" applyAlignment="1">
      <alignment horizontal="left" vertical="top" wrapText="1"/>
    </xf>
    <xf numFmtId="0" fontId="0" fillId="36" borderId="0" xfId="0" applyFill="1" applyAlignment="1">
      <alignment horizontal="left"/>
    </xf>
    <xf numFmtId="0" fontId="0" fillId="25" borderId="0" xfId="0" applyFill="1" applyAlignment="1">
      <alignment horizontal="left"/>
    </xf>
    <xf numFmtId="0" fontId="114" fillId="0" borderId="0" xfId="18" applyFont="1" applyAlignment="1">
      <alignment horizontal="left" vertical="top"/>
    </xf>
    <xf numFmtId="0" fontId="108" fillId="0" borderId="0" xfId="0" applyFont="1" applyAlignment="1">
      <alignment horizontal="left" vertical="top" wrapText="1"/>
    </xf>
    <xf numFmtId="0" fontId="112" fillId="0" borderId="0" xfId="0" applyFont="1" applyAlignment="1">
      <alignment horizontal="left" vertical="top" wrapText="1"/>
    </xf>
    <xf numFmtId="0" fontId="10" fillId="0" borderId="49" xfId="0" applyFont="1" applyBorder="1" applyAlignment="1">
      <alignment vertical="center" wrapText="1"/>
    </xf>
    <xf numFmtId="0" fontId="58" fillId="0" borderId="7" xfId="18" applyFont="1" applyBorder="1" applyAlignment="1">
      <alignment horizontal="left" vertical="top" wrapText="1"/>
    </xf>
    <xf numFmtId="0" fontId="58" fillId="0" borderId="7" xfId="18" applyFont="1" applyBorder="1" applyAlignment="1">
      <alignment horizontal="left" vertical="top" wrapText="1" indent="1"/>
    </xf>
    <xf numFmtId="0" fontId="45" fillId="0" borderId="7" xfId="18" applyFont="1" applyBorder="1" applyAlignment="1">
      <alignment horizontal="left" vertical="top" wrapText="1" indent="2"/>
    </xf>
    <xf numFmtId="0" fontId="27" fillId="0" borderId="7" xfId="18" applyFont="1" applyBorder="1" applyAlignment="1">
      <alignment horizontal="left" vertical="top"/>
    </xf>
    <xf numFmtId="0" fontId="10" fillId="0" borderId="21" xfId="18" applyFont="1" applyBorder="1" applyAlignment="1">
      <alignment horizontal="left" vertical="top" wrapText="1"/>
    </xf>
    <xf numFmtId="0" fontId="9" fillId="13" borderId="7" xfId="18" applyFont="1" applyFill="1" applyBorder="1" applyAlignment="1">
      <alignment horizontal="left" vertical="center"/>
    </xf>
    <xf numFmtId="0" fontId="7" fillId="0" borderId="7" xfId="18" applyFont="1" applyBorder="1" applyAlignment="1">
      <alignment horizontal="left"/>
    </xf>
    <xf numFmtId="0" fontId="10" fillId="32" borderId="21" xfId="18" applyFont="1" applyFill="1" applyBorder="1" applyAlignment="1">
      <alignment horizontal="left" vertical="top" wrapText="1"/>
    </xf>
    <xf numFmtId="0" fontId="5" fillId="27" borderId="69" xfId="0" applyFont="1" applyFill="1" applyBorder="1" applyAlignment="1">
      <alignment horizontal="left" vertical="top" wrapText="1"/>
    </xf>
    <xf numFmtId="0" fontId="5" fillId="27" borderId="70" xfId="0" applyFont="1" applyFill="1" applyBorder="1" applyAlignment="1">
      <alignment horizontal="left" vertical="top" wrapText="1"/>
    </xf>
    <xf numFmtId="0" fontId="5" fillId="27" borderId="71" xfId="0" applyFont="1" applyFill="1" applyBorder="1" applyAlignment="1">
      <alignment horizontal="left" vertical="top" wrapText="1"/>
    </xf>
    <xf numFmtId="0" fontId="5" fillId="27" borderId="72" xfId="0" applyFont="1" applyFill="1" applyBorder="1" applyAlignment="1">
      <alignment horizontal="left" vertical="top" wrapText="1"/>
    </xf>
    <xf numFmtId="0" fontId="116" fillId="0" borderId="0" xfId="0" applyFont="1" applyAlignment="1">
      <alignment vertical="top" wrapText="1"/>
    </xf>
    <xf numFmtId="0" fontId="105" fillId="0" borderId="0" xfId="0" applyFont="1" applyAlignment="1">
      <alignment horizontal="left" vertical="top" wrapText="1"/>
    </xf>
    <xf numFmtId="0" fontId="107" fillId="0" borderId="0" xfId="0" applyFont="1" applyAlignment="1">
      <alignment horizontal="left" vertical="top"/>
    </xf>
    <xf numFmtId="0" fontId="107" fillId="0" borderId="0" xfId="0" applyFont="1" applyAlignment="1">
      <alignment horizontal="left" vertical="top" wrapText="1"/>
    </xf>
    <xf numFmtId="0" fontId="106" fillId="0" borderId="0" xfId="18" applyFont="1" applyAlignment="1">
      <alignment horizontal="left" vertical="top" wrapText="1"/>
    </xf>
    <xf numFmtId="0" fontId="115" fillId="0" borderId="0" xfId="18" applyFont="1" applyAlignment="1">
      <alignment horizontal="left" vertical="top" wrapText="1"/>
    </xf>
    <xf numFmtId="0" fontId="114" fillId="0" borderId="0" xfId="18" applyFont="1" applyAlignment="1">
      <alignment horizontal="left" vertical="top" wrapText="1"/>
    </xf>
    <xf numFmtId="0" fontId="120" fillId="0" borderId="0" xfId="18" applyFont="1" applyAlignment="1">
      <alignment horizontal="left" vertical="top" wrapText="1"/>
    </xf>
    <xf numFmtId="0" fontId="107" fillId="0" borderId="0" xfId="18" applyFont="1" applyAlignment="1">
      <alignment horizontal="left" vertical="top" wrapText="1"/>
    </xf>
    <xf numFmtId="0" fontId="120" fillId="0" borderId="0" xfId="18" applyFont="1" applyAlignment="1">
      <alignment horizontal="left" vertical="top"/>
    </xf>
    <xf numFmtId="0" fontId="107" fillId="0" borderId="0" xfId="18" applyFont="1" applyAlignment="1">
      <alignment horizontal="left" vertical="top"/>
    </xf>
    <xf numFmtId="0" fontId="106" fillId="0" borderId="0" xfId="18" applyFont="1" applyAlignment="1">
      <alignment horizontal="left" vertical="top"/>
    </xf>
    <xf numFmtId="0" fontId="113" fillId="0" borderId="0" xfId="18" applyFont="1" applyAlignment="1">
      <alignment horizontal="left" vertical="top"/>
    </xf>
    <xf numFmtId="0" fontId="118" fillId="0" borderId="0" xfId="18" applyFont="1" applyAlignment="1">
      <alignment horizontal="left" vertical="top"/>
    </xf>
    <xf numFmtId="0" fontId="114" fillId="0" borderId="0" xfId="0" applyFont="1" applyAlignment="1">
      <alignment horizontal="left" vertical="top" wrapText="1"/>
    </xf>
    <xf numFmtId="0" fontId="117" fillId="0" borderId="0" xfId="0" applyFont="1" applyAlignment="1">
      <alignment horizontal="left" vertical="top" wrapText="1"/>
    </xf>
    <xf numFmtId="0" fontId="128" fillId="0" borderId="0" xfId="0" applyFont="1" applyAlignment="1">
      <alignment horizontal="left" vertical="top" wrapText="1"/>
    </xf>
    <xf numFmtId="0" fontId="129" fillId="0" borderId="0" xfId="0" applyFont="1" applyAlignment="1">
      <alignment horizontal="left" vertical="top" wrapText="1"/>
    </xf>
    <xf numFmtId="166" fontId="107" fillId="0" borderId="0" xfId="0" applyNumberFormat="1" applyFont="1" applyAlignment="1">
      <alignment horizontal="left" vertical="top"/>
    </xf>
    <xf numFmtId="0" fontId="10" fillId="0" borderId="0" xfId="18" applyFont="1" applyAlignment="1">
      <alignment horizontal="left" vertical="top" wrapText="1"/>
    </xf>
    <xf numFmtId="0" fontId="0" fillId="37" borderId="0" xfId="0" applyFill="1"/>
    <xf numFmtId="0" fontId="5" fillId="0" borderId="0" xfId="0" applyFont="1" applyAlignment="1">
      <alignment horizontal="left"/>
    </xf>
    <xf numFmtId="0" fontId="0" fillId="37" borderId="0" xfId="0" applyFill="1" applyAlignment="1">
      <alignment horizontal="left"/>
    </xf>
    <xf numFmtId="0" fontId="104" fillId="0" borderId="0" xfId="19" applyFont="1" applyAlignment="1">
      <alignment vertical="top" wrapText="1"/>
    </xf>
    <xf numFmtId="0" fontId="105" fillId="0" borderId="0" xfId="0" applyFont="1" applyAlignment="1">
      <alignment vertical="top" wrapText="1"/>
    </xf>
    <xf numFmtId="0" fontId="106" fillId="0" borderId="0" xfId="0" applyFont="1" applyAlignment="1">
      <alignment vertical="top" wrapText="1"/>
    </xf>
    <xf numFmtId="0" fontId="107" fillId="0" borderId="0" xfId="0" applyFont="1" applyAlignment="1">
      <alignment vertical="top" wrapText="1"/>
    </xf>
    <xf numFmtId="0" fontId="108" fillId="0" borderId="0" xfId="0" applyFont="1" applyAlignment="1">
      <alignment vertical="top" wrapText="1"/>
    </xf>
    <xf numFmtId="0" fontId="109" fillId="0" borderId="0" xfId="14" applyFont="1" applyFill="1" applyBorder="1" applyAlignment="1" applyProtection="1">
      <alignment vertical="top" wrapText="1"/>
    </xf>
    <xf numFmtId="0" fontId="110" fillId="0" borderId="0" xfId="0" applyFont="1" applyAlignment="1">
      <alignment vertical="top" wrapText="1"/>
    </xf>
    <xf numFmtId="0" fontId="111" fillId="0" borderId="0" xfId="0" applyFont="1" applyAlignment="1">
      <alignment vertical="top" wrapText="1"/>
    </xf>
    <xf numFmtId="0" fontId="109" fillId="0" borderId="0" xfId="0" applyFont="1" applyAlignment="1">
      <alignment vertical="top" wrapText="1"/>
    </xf>
    <xf numFmtId="0" fontId="112" fillId="0" borderId="0" xfId="0" applyFont="1" applyAlignment="1">
      <alignment vertical="top" wrapText="1"/>
    </xf>
    <xf numFmtId="0" fontId="113" fillId="0" borderId="0" xfId="0" applyFont="1" applyAlignment="1">
      <alignment vertical="top" wrapText="1"/>
    </xf>
    <xf numFmtId="0" fontId="114" fillId="0" borderId="0" xfId="0" applyFont="1" applyAlignment="1">
      <alignment vertical="top" wrapText="1"/>
    </xf>
    <xf numFmtId="0" fontId="115" fillId="0" borderId="0" xfId="0" applyFont="1" applyAlignment="1">
      <alignment vertical="top" wrapText="1"/>
    </xf>
    <xf numFmtId="0" fontId="117" fillId="0" borderId="0" xfId="0" applyFont="1" applyAlignment="1">
      <alignment vertical="top" wrapText="1"/>
    </xf>
    <xf numFmtId="0" fontId="118" fillId="0" borderId="0" xfId="0" applyFont="1" applyAlignment="1">
      <alignment vertical="top" wrapText="1"/>
    </xf>
    <xf numFmtId="0" fontId="120" fillId="0" borderId="0" xfId="0" applyFont="1" applyAlignment="1">
      <alignment vertical="top" wrapText="1"/>
    </xf>
    <xf numFmtId="0" fontId="125" fillId="0" borderId="0" xfId="0" applyFont="1" applyAlignment="1">
      <alignment vertical="top" wrapText="1"/>
    </xf>
    <xf numFmtId="0" fontId="127" fillId="0" borderId="0" xfId="0" applyFont="1" applyAlignment="1">
      <alignment vertical="top" wrapText="1"/>
    </xf>
    <xf numFmtId="0" fontId="107" fillId="0" borderId="0" xfId="0" applyFont="1" applyAlignment="1">
      <alignment vertical="top"/>
    </xf>
    <xf numFmtId="0" fontId="110" fillId="0" borderId="0" xfId="0" applyFont="1" applyAlignment="1">
      <alignment horizontal="left" vertical="top" wrapText="1"/>
    </xf>
    <xf numFmtId="0" fontId="127" fillId="0" borderId="0" xfId="0" applyFont="1" applyAlignment="1">
      <alignment horizontal="left" vertical="top" wrapText="1"/>
    </xf>
    <xf numFmtId="0" fontId="107" fillId="0" borderId="0" xfId="18" applyFont="1" applyAlignment="1">
      <alignment vertical="top" wrapText="1"/>
    </xf>
    <xf numFmtId="0" fontId="119" fillId="0" borderId="0" xfId="0" applyFont="1" applyAlignment="1">
      <alignment horizontal="left" vertical="top"/>
    </xf>
    <xf numFmtId="0" fontId="132" fillId="0" borderId="0" xfId="0" applyFont="1" applyAlignment="1">
      <alignment vertical="top"/>
    </xf>
    <xf numFmtId="0" fontId="0" fillId="38" borderId="0" xfId="0" applyFill="1" applyAlignment="1">
      <alignment vertical="top"/>
    </xf>
    <xf numFmtId="0" fontId="0" fillId="38" borderId="0" xfId="0" applyFill="1" applyAlignment="1">
      <alignment vertical="top" wrapText="1"/>
    </xf>
    <xf numFmtId="0" fontId="7" fillId="38" borderId="0" xfId="0" applyFont="1" applyFill="1" applyAlignment="1">
      <alignment horizontal="center" vertical="top"/>
    </xf>
    <xf numFmtId="0" fontId="39" fillId="38" borderId="0" xfId="0" applyFont="1" applyFill="1" applyAlignment="1">
      <alignment vertical="top" wrapText="1"/>
    </xf>
    <xf numFmtId="0" fontId="89" fillId="0" borderId="0" xfId="18" applyFont="1" applyAlignment="1">
      <alignment horizontal="center" vertical="top" wrapText="1"/>
    </xf>
    <xf numFmtId="0" fontId="5" fillId="38" borderId="0" xfId="18" applyFill="1" applyAlignment="1">
      <alignment vertical="top"/>
    </xf>
    <xf numFmtId="0" fontId="5" fillId="39" borderId="0" xfId="18" applyFill="1" applyAlignment="1">
      <alignment vertical="top"/>
    </xf>
    <xf numFmtId="0" fontId="5" fillId="38" borderId="0" xfId="18" applyFill="1" applyAlignment="1">
      <alignment vertical="top" wrapText="1"/>
    </xf>
    <xf numFmtId="0" fontId="5" fillId="38" borderId="0" xfId="18" applyFill="1" applyAlignment="1">
      <alignment vertical="center"/>
    </xf>
    <xf numFmtId="0" fontId="8" fillId="38" borderId="0" xfId="18" applyFont="1" applyFill="1" applyAlignment="1">
      <alignment horizontal="left" vertical="top" wrapText="1"/>
    </xf>
    <xf numFmtId="165" fontId="9" fillId="28" borderId="29" xfId="18" applyNumberFormat="1" applyFont="1" applyFill="1" applyBorder="1" applyAlignment="1" applyProtection="1">
      <alignment horizontal="right" vertical="top"/>
      <protection locked="0"/>
    </xf>
    <xf numFmtId="0" fontId="27" fillId="38" borderId="0" xfId="18" applyFont="1" applyFill="1" applyAlignment="1">
      <alignment vertical="top"/>
    </xf>
    <xf numFmtId="0" fontId="87" fillId="0" borderId="0" xfId="18" applyFont="1" applyAlignment="1">
      <alignment vertical="center"/>
    </xf>
    <xf numFmtId="0" fontId="5" fillId="39" borderId="0" xfId="18" applyFill="1"/>
    <xf numFmtId="0" fontId="9" fillId="39" borderId="0" xfId="18" applyFont="1" applyFill="1" applyAlignment="1">
      <alignment horizontal="center" vertical="top" wrapText="1"/>
    </xf>
    <xf numFmtId="0" fontId="9" fillId="39" borderId="0" xfId="18" applyFont="1" applyFill="1" applyAlignment="1">
      <alignment vertical="top"/>
    </xf>
    <xf numFmtId="0" fontId="9" fillId="39" borderId="0" xfId="18" applyFont="1" applyFill="1"/>
    <xf numFmtId="0" fontId="87" fillId="0" borderId="0" xfId="18" applyFont="1"/>
    <xf numFmtId="0" fontId="7" fillId="13" borderId="0" xfId="14" applyFont="1" applyFill="1" applyAlignment="1" applyProtection="1">
      <alignment horizontal="left" vertical="top" wrapText="1"/>
    </xf>
    <xf numFmtId="0" fontId="5" fillId="13" borderId="0" xfId="14" applyFont="1" applyFill="1" applyAlignment="1" applyProtection="1">
      <alignment horizontal="left" vertical="top" wrapText="1"/>
    </xf>
    <xf numFmtId="0" fontId="48" fillId="0" borderId="0" xfId="18" applyFont="1" applyAlignment="1">
      <alignment horizontal="left" vertical="center" wrapText="1"/>
    </xf>
    <xf numFmtId="0" fontId="8" fillId="0" borderId="0" xfId="18" applyFont="1" applyAlignment="1">
      <alignment horizontal="left" vertical="center" wrapText="1"/>
    </xf>
    <xf numFmtId="0" fontId="45" fillId="0" borderId="29" xfId="18" applyFont="1" applyBorder="1" applyAlignment="1">
      <alignment horizontal="left" vertical="top" wrapText="1" indent="1"/>
    </xf>
    <xf numFmtId="0" fontId="5" fillId="0" borderId="0" xfId="18" applyAlignment="1">
      <alignment horizontal="left" vertical="top" wrapText="1"/>
    </xf>
    <xf numFmtId="0" fontId="5" fillId="33" borderId="0" xfId="18" applyFill="1" applyAlignment="1">
      <alignment horizontal="center" vertical="top"/>
    </xf>
    <xf numFmtId="0" fontId="5" fillId="26" borderId="0" xfId="18" applyFill="1" applyAlignment="1">
      <alignment horizontal="left" vertical="top"/>
    </xf>
    <xf numFmtId="0" fontId="10" fillId="0" borderId="29" xfId="18" applyFont="1" applyBorder="1" applyAlignment="1">
      <alignment horizontal="left" vertical="top" wrapText="1"/>
    </xf>
    <xf numFmtId="0" fontId="27" fillId="0" borderId="0" xfId="18" applyFont="1" applyAlignment="1">
      <alignment horizontal="left" vertical="top"/>
    </xf>
    <xf numFmtId="0" fontId="10" fillId="38" borderId="20" xfId="18" applyFont="1" applyFill="1" applyBorder="1" applyAlignment="1">
      <alignment horizontal="left" vertical="top" wrapText="1"/>
    </xf>
    <xf numFmtId="0" fontId="14" fillId="13" borderId="0" xfId="18" applyFont="1" applyFill="1" applyAlignment="1">
      <alignment horizontal="left" vertical="center" wrapText="1"/>
    </xf>
    <xf numFmtId="0" fontId="107" fillId="0" borderId="0" xfId="0" applyFont="1"/>
    <xf numFmtId="0" fontId="108" fillId="0" borderId="0" xfId="14" applyFont="1" applyFill="1" applyAlignment="1" applyProtection="1">
      <alignment horizontal="left" vertical="top" wrapText="1"/>
    </xf>
    <xf numFmtId="0" fontId="107" fillId="0" borderId="0" xfId="14" applyFont="1" applyFill="1" applyAlignment="1" applyProtection="1">
      <alignment horizontal="left" vertical="top" wrapText="1"/>
    </xf>
    <xf numFmtId="0" fontId="127" fillId="0" borderId="0" xfId="0" applyFont="1" applyAlignment="1">
      <alignment horizontal="left" vertical="center" wrapText="1"/>
    </xf>
    <xf numFmtId="0" fontId="113" fillId="0" borderId="0" xfId="18" applyFont="1" applyAlignment="1">
      <alignment horizontal="left" vertical="center" wrapText="1"/>
    </xf>
    <xf numFmtId="0" fontId="115" fillId="0" borderId="0" xfId="18" applyFont="1" applyAlignment="1">
      <alignment horizontal="left" vertical="center" wrapText="1"/>
    </xf>
    <xf numFmtId="0" fontId="108" fillId="0" borderId="7" xfId="18" applyFont="1" applyBorder="1" applyAlignment="1">
      <alignment horizontal="left" vertical="top" wrapText="1"/>
    </xf>
    <xf numFmtId="0" fontId="108" fillId="0" borderId="27" xfId="18" applyFont="1" applyBorder="1" applyAlignment="1">
      <alignment horizontal="left" vertical="top" wrapText="1"/>
    </xf>
    <xf numFmtId="0" fontId="114" fillId="0" borderId="29" xfId="18" applyFont="1" applyBorder="1" applyAlignment="1">
      <alignment horizontal="left" vertical="top" wrapText="1"/>
    </xf>
    <xf numFmtId="0" fontId="113" fillId="0" borderId="29" xfId="18" applyFont="1" applyBorder="1" applyAlignment="1">
      <alignment horizontal="left" vertical="top" wrapText="1" indent="1"/>
    </xf>
    <xf numFmtId="0" fontId="114" fillId="0" borderId="7" xfId="18" applyFont="1" applyBorder="1" applyAlignment="1">
      <alignment horizontal="left" vertical="top" wrapText="1"/>
    </xf>
    <xf numFmtId="0" fontId="114" fillId="0" borderId="20" xfId="18" applyFont="1" applyBorder="1" applyAlignment="1">
      <alignment horizontal="left" vertical="top" wrapText="1"/>
    </xf>
    <xf numFmtId="0" fontId="111" fillId="0" borderId="0" xfId="18" applyFont="1" applyAlignment="1">
      <alignment horizontal="left"/>
    </xf>
    <xf numFmtId="0" fontId="107" fillId="0" borderId="0" xfId="0" applyFont="1" applyAlignment="1">
      <alignment horizontal="left"/>
    </xf>
    <xf numFmtId="0" fontId="7" fillId="0" borderId="0" xfId="18" applyFont="1" applyAlignment="1">
      <alignment vertical="top" wrapText="1"/>
    </xf>
    <xf numFmtId="0" fontId="133" fillId="17" borderId="0" xfId="0" applyFont="1" applyFill="1"/>
    <xf numFmtId="0" fontId="7" fillId="13" borderId="0" xfId="14" applyFont="1" applyFill="1" applyAlignment="1" applyProtection="1">
      <alignment vertical="top" wrapText="1"/>
    </xf>
    <xf numFmtId="0" fontId="33" fillId="13" borderId="0" xfId="14" applyFont="1" applyFill="1" applyAlignment="1" applyProtection="1">
      <alignment vertical="top" wrapText="1"/>
    </xf>
    <xf numFmtId="0" fontId="5" fillId="13" borderId="0" xfId="14" applyFont="1" applyFill="1" applyAlignment="1" applyProtection="1">
      <alignment vertical="top" wrapText="1"/>
    </xf>
    <xf numFmtId="0" fontId="7" fillId="0" borderId="0" xfId="0" applyFont="1" applyAlignment="1">
      <alignment vertical="top" wrapText="1"/>
    </xf>
    <xf numFmtId="0" fontId="45" fillId="0" borderId="29" xfId="18" applyFont="1" applyBorder="1" applyAlignment="1">
      <alignment vertical="top" wrapText="1"/>
    </xf>
    <xf numFmtId="0" fontId="107" fillId="0" borderId="0" xfId="18" applyFont="1" applyAlignment="1">
      <alignment wrapText="1"/>
    </xf>
    <xf numFmtId="0" fontId="108" fillId="0" borderId="0" xfId="14" applyFont="1" applyFill="1" applyAlignment="1" applyProtection="1">
      <alignment vertical="top" wrapText="1"/>
    </xf>
    <xf numFmtId="0" fontId="107" fillId="0" borderId="0" xfId="14" applyFont="1" applyFill="1" applyAlignment="1" applyProtection="1">
      <alignment vertical="top" wrapText="1"/>
    </xf>
    <xf numFmtId="0" fontId="119" fillId="0" borderId="0" xfId="14" applyFont="1" applyFill="1" applyAlignment="1" applyProtection="1">
      <alignment vertical="top" wrapText="1"/>
    </xf>
    <xf numFmtId="0" fontId="113" fillId="0" borderId="29" xfId="18" applyFont="1" applyBorder="1" applyAlignment="1">
      <alignment vertical="top" wrapText="1"/>
    </xf>
    <xf numFmtId="0" fontId="108" fillId="0" borderId="0" xfId="18" applyFont="1" applyAlignment="1">
      <alignment vertical="top" wrapText="1"/>
    </xf>
    <xf numFmtId="0" fontId="115" fillId="0" borderId="7" xfId="18" applyFont="1" applyBorder="1" applyAlignment="1">
      <alignment horizontal="left" vertical="top" wrapText="1" indent="1"/>
    </xf>
    <xf numFmtId="0" fontId="107" fillId="13" borderId="0" xfId="0" applyFont="1" applyFill="1" applyAlignment="1">
      <alignment horizontal="left" vertical="top" wrapText="1"/>
    </xf>
    <xf numFmtId="0" fontId="5" fillId="0" borderId="0" xfId="0" applyFont="1" applyAlignment="1">
      <alignment vertical="top" wrapText="1"/>
    </xf>
    <xf numFmtId="0" fontId="132" fillId="0" borderId="0" xfId="0" applyFont="1" applyAlignment="1">
      <alignment horizontal="left" vertical="top"/>
    </xf>
    <xf numFmtId="0" fontId="5" fillId="0" borderId="0" xfId="18" quotePrefix="1"/>
    <xf numFmtId="0" fontId="0" fillId="27" borderId="0" xfId="0" applyFill="1" applyAlignment="1">
      <alignment horizontal="left" vertical="top" wrapText="1"/>
    </xf>
    <xf numFmtId="0" fontId="87" fillId="0" borderId="0" xfId="0" applyFont="1" applyAlignment="1">
      <alignment vertical="top"/>
    </xf>
    <xf numFmtId="0" fontId="7" fillId="27" borderId="0" xfId="18" applyFont="1" applyFill="1" applyAlignment="1">
      <alignment horizontal="left" vertical="top"/>
    </xf>
    <xf numFmtId="0" fontId="5" fillId="27" borderId="0" xfId="18" applyFill="1" applyAlignment="1">
      <alignment horizontal="left" vertical="top"/>
    </xf>
    <xf numFmtId="0" fontId="8" fillId="27" borderId="0" xfId="18" applyFont="1" applyFill="1" applyAlignment="1">
      <alignment vertical="top"/>
    </xf>
    <xf numFmtId="0" fontId="10" fillId="27" borderId="0" xfId="18" applyFont="1" applyFill="1" applyAlignment="1">
      <alignment vertical="top" wrapText="1"/>
    </xf>
    <xf numFmtId="0" fontId="7" fillId="27" borderId="0" xfId="18" applyFont="1" applyFill="1" applyAlignment="1">
      <alignment horizontal="center" vertical="top"/>
    </xf>
    <xf numFmtId="0" fontId="7" fillId="27" borderId="0" xfId="0" applyFont="1" applyFill="1" applyAlignment="1">
      <alignment vertical="top"/>
    </xf>
    <xf numFmtId="0" fontId="134" fillId="27" borderId="0" xfId="14" applyFont="1" applyFill="1" applyAlignment="1" applyProtection="1">
      <alignment horizontal="left" vertical="top" wrapText="1"/>
    </xf>
    <xf numFmtId="0" fontId="5" fillId="27" borderId="0" xfId="18" applyFill="1"/>
    <xf numFmtId="0" fontId="5" fillId="40" borderId="0" xfId="18" applyFill="1"/>
    <xf numFmtId="0" fontId="5" fillId="40" borderId="0" xfId="18" applyFill="1" applyAlignment="1">
      <alignment vertical="top"/>
    </xf>
    <xf numFmtId="0" fontId="9" fillId="40" borderId="0" xfId="18" applyFont="1" applyFill="1" applyAlignment="1">
      <alignment horizontal="center" vertical="top" wrapText="1"/>
    </xf>
    <xf numFmtId="0" fontId="9" fillId="40" borderId="0" xfId="18" applyFont="1" applyFill="1" applyAlignment="1">
      <alignment vertical="top"/>
    </xf>
    <xf numFmtId="0" fontId="9" fillId="40" borderId="0" xfId="18" applyFont="1" applyFill="1"/>
    <xf numFmtId="0" fontId="134" fillId="0" borderId="0" xfId="14" applyFont="1" applyAlignment="1" applyProtection="1">
      <alignment vertical="top" wrapText="1"/>
    </xf>
    <xf numFmtId="0" fontId="33" fillId="13" borderId="0" xfId="14" applyFont="1" applyFill="1" applyAlignment="1" applyProtection="1">
      <alignment horizontal="left" vertical="top" wrapText="1"/>
    </xf>
    <xf numFmtId="0" fontId="11" fillId="13" borderId="0" xfId="14" applyFill="1" applyAlignment="1" applyProtection="1">
      <alignment horizontal="left" vertical="top" wrapText="1"/>
    </xf>
    <xf numFmtId="0" fontId="7" fillId="13" borderId="0" xfId="0" applyFont="1" applyFill="1" applyAlignment="1">
      <alignment vertical="top" wrapText="1"/>
    </xf>
    <xf numFmtId="0" fontId="35" fillId="13" borderId="0" xfId="0" applyFont="1" applyFill="1" applyAlignment="1">
      <alignment horizontal="left" vertical="top" wrapText="1"/>
    </xf>
    <xf numFmtId="0" fontId="35" fillId="13" borderId="0" xfId="0" applyFont="1" applyFill="1" applyAlignment="1">
      <alignment horizontal="left" vertical="top" wrapText="1" indent="2"/>
    </xf>
    <xf numFmtId="0" fontId="5" fillId="0" borderId="7" xfId="18" applyBorder="1" applyAlignment="1">
      <alignment horizontal="left" vertical="top" wrapText="1"/>
    </xf>
    <xf numFmtId="0" fontId="7" fillId="0" borderId="7" xfId="18" applyFont="1" applyBorder="1" applyAlignment="1">
      <alignment horizontal="left" vertical="top" wrapText="1"/>
    </xf>
    <xf numFmtId="0" fontId="7" fillId="0" borderId="30" xfId="18" applyFont="1" applyBorder="1" applyAlignment="1">
      <alignment horizontal="left" vertical="top" wrapText="1"/>
    </xf>
    <xf numFmtId="0" fontId="14" fillId="27" borderId="31" xfId="18" applyFont="1" applyFill="1" applyBorder="1" applyAlignment="1">
      <alignment horizontal="left" vertical="top" wrapText="1"/>
    </xf>
    <xf numFmtId="0" fontId="14" fillId="27" borderId="0" xfId="18" applyFont="1" applyFill="1" applyAlignment="1">
      <alignment horizontal="left" vertical="top" wrapText="1"/>
    </xf>
    <xf numFmtId="0" fontId="59" fillId="27" borderId="0" xfId="18" applyFont="1" applyFill="1" applyAlignment="1">
      <alignment horizontal="left" vertical="top" wrapText="1"/>
    </xf>
    <xf numFmtId="0" fontId="7" fillId="27" borderId="0" xfId="18" applyFont="1" applyFill="1" applyAlignment="1">
      <alignment horizontal="left" vertical="top" wrapText="1"/>
    </xf>
    <xf numFmtId="0" fontId="50" fillId="27" borderId="0" xfId="0" applyFont="1" applyFill="1" applyAlignment="1">
      <alignment horizontal="left" vertical="top" wrapText="1"/>
    </xf>
    <xf numFmtId="2" fontId="135" fillId="0" borderId="29" xfId="18" applyNumberFormat="1" applyFont="1" applyBorder="1" applyAlignment="1">
      <alignment horizontal="center" vertical="top"/>
    </xf>
    <xf numFmtId="0" fontId="87" fillId="27" borderId="0" xfId="0" applyFont="1" applyFill="1" applyAlignment="1">
      <alignment vertical="top"/>
    </xf>
    <xf numFmtId="0" fontId="59" fillId="13" borderId="0" xfId="18" applyFont="1" applyFill="1" applyAlignment="1">
      <alignment vertical="top" wrapText="1"/>
    </xf>
    <xf numFmtId="0" fontId="5" fillId="16" borderId="0" xfId="0" applyFont="1" applyFill="1" applyAlignment="1">
      <alignment horizontal="left" vertical="top" wrapText="1"/>
    </xf>
    <xf numFmtId="0" fontId="14" fillId="13" borderId="0" xfId="0" applyFont="1" applyFill="1" applyAlignment="1">
      <alignment vertical="top" wrapText="1"/>
    </xf>
    <xf numFmtId="0" fontId="13" fillId="13" borderId="0" xfId="18" applyFont="1" applyFill="1" applyAlignment="1">
      <alignment vertical="top" wrapText="1"/>
    </xf>
    <xf numFmtId="0" fontId="0" fillId="0" borderId="29" xfId="0" applyBorder="1" applyAlignment="1">
      <alignment vertical="top" wrapText="1"/>
    </xf>
    <xf numFmtId="0" fontId="14" fillId="13" borderId="73" xfId="0" applyFont="1" applyFill="1" applyBorder="1" applyAlignment="1">
      <alignment vertical="top" wrapText="1"/>
    </xf>
    <xf numFmtId="0" fontId="49" fillId="13" borderId="0" xfId="18" applyFont="1" applyFill="1" applyAlignment="1">
      <alignment horizontal="left" vertical="top" wrapText="1"/>
    </xf>
    <xf numFmtId="0" fontId="14" fillId="13" borderId="74" xfId="0" applyFont="1" applyFill="1" applyBorder="1" applyAlignment="1">
      <alignment vertical="top" wrapText="1"/>
    </xf>
    <xf numFmtId="0" fontId="48" fillId="0" borderId="80" xfId="18" applyFont="1" applyBorder="1" applyAlignment="1">
      <alignment vertical="top" wrapText="1"/>
    </xf>
    <xf numFmtId="0" fontId="48" fillId="0" borderId="81" xfId="18" applyFont="1" applyBorder="1" applyAlignment="1">
      <alignment horizontal="left" vertical="top" wrapText="1"/>
    </xf>
    <xf numFmtId="0" fontId="5" fillId="26" borderId="43" xfId="18" applyFill="1" applyBorder="1" applyAlignment="1">
      <alignment vertical="top"/>
    </xf>
    <xf numFmtId="0" fontId="71" fillId="0" borderId="0" xfId="14" applyFont="1" applyAlignment="1" applyProtection="1">
      <alignment vertical="top" wrapText="1"/>
    </xf>
    <xf numFmtId="0" fontId="87" fillId="26" borderId="0" xfId="18" applyFont="1" applyFill="1" applyAlignment="1">
      <alignment horizontal="center" vertical="top"/>
    </xf>
    <xf numFmtId="0" fontId="107" fillId="0" borderId="0" xfId="0" applyFont="1" applyAlignment="1">
      <alignment vertical="center" wrapText="1"/>
    </xf>
    <xf numFmtId="0" fontId="110" fillId="0" borderId="0" xfId="0" applyFont="1" applyAlignment="1">
      <alignment horizontal="left" vertical="top" wrapText="1" indent="2"/>
    </xf>
    <xf numFmtId="0" fontId="108" fillId="0" borderId="30" xfId="18" applyFont="1" applyBorder="1" applyAlignment="1">
      <alignment horizontal="left" vertical="top" wrapText="1"/>
    </xf>
    <xf numFmtId="0" fontId="107" fillId="0" borderId="7" xfId="18" applyFont="1" applyBorder="1" applyAlignment="1">
      <alignment horizontal="left" vertical="top" wrapText="1"/>
    </xf>
    <xf numFmtId="0" fontId="113" fillId="0" borderId="31" xfId="18" applyFont="1" applyBorder="1" applyAlignment="1">
      <alignment horizontal="left" vertical="top" wrapText="1"/>
    </xf>
    <xf numFmtId="0" fontId="5" fillId="17" borderId="29" xfId="0" applyFont="1" applyFill="1" applyBorder="1"/>
    <xf numFmtId="0" fontId="0" fillId="0" borderId="29" xfId="0" applyBorder="1"/>
    <xf numFmtId="0" fontId="87" fillId="13" borderId="0" xfId="0" applyFont="1" applyFill="1" applyAlignment="1">
      <alignment vertical="top"/>
    </xf>
    <xf numFmtId="9" fontId="59" fillId="13" borderId="82" xfId="22" applyFont="1" applyFill="1" applyBorder="1" applyAlignment="1">
      <alignment horizontal="center" vertical="top" wrapText="1"/>
    </xf>
    <xf numFmtId="9" fontId="59" fillId="13" borderId="83" xfId="22" applyFont="1" applyFill="1" applyBorder="1" applyAlignment="1">
      <alignment horizontal="center" vertical="top" wrapText="1"/>
    </xf>
    <xf numFmtId="2" fontId="45" fillId="25" borderId="29" xfId="18" applyNumberFormat="1" applyFont="1" applyFill="1" applyBorder="1" applyAlignment="1">
      <alignment horizontal="center" vertical="top" wrapText="1"/>
    </xf>
    <xf numFmtId="9" fontId="45" fillId="25" borderId="29" xfId="18" applyNumberFormat="1" applyFont="1" applyFill="1" applyBorder="1" applyAlignment="1">
      <alignment horizontal="center" vertical="top" wrapText="1"/>
    </xf>
    <xf numFmtId="0" fontId="5" fillId="0" borderId="47" xfId="18" applyBorder="1" applyAlignment="1">
      <alignment vertical="center"/>
    </xf>
    <xf numFmtId="0" fontId="11" fillId="0" borderId="0" xfId="14" applyAlignment="1" applyProtection="1"/>
    <xf numFmtId="0" fontId="0" fillId="26" borderId="0" xfId="0" applyFill="1" applyAlignment="1">
      <alignment horizontal="left" vertical="top" wrapText="1"/>
    </xf>
    <xf numFmtId="0" fontId="58" fillId="0" borderId="0" xfId="18" applyFont="1" applyAlignment="1">
      <alignment horizontal="center" vertical="center" wrapText="1"/>
    </xf>
    <xf numFmtId="0" fontId="144" fillId="0" borderId="0" xfId="18" applyFont="1"/>
    <xf numFmtId="0" fontId="143" fillId="0" borderId="0" xfId="18" applyFont="1"/>
    <xf numFmtId="0" fontId="143" fillId="0" borderId="0" xfId="18" applyFont="1" applyAlignment="1">
      <alignment horizontal="center"/>
    </xf>
    <xf numFmtId="0" fontId="146" fillId="21" borderId="0" xfId="18" applyFont="1" applyFill="1" applyAlignment="1">
      <alignment vertical="top"/>
    </xf>
    <xf numFmtId="0" fontId="147" fillId="0" borderId="0" xfId="18" applyFont="1" applyAlignment="1">
      <alignment vertical="top"/>
    </xf>
    <xf numFmtId="0" fontId="151" fillId="0" borderId="0" xfId="18" applyFont="1" applyAlignment="1">
      <alignment vertical="top"/>
    </xf>
    <xf numFmtId="0" fontId="143" fillId="0" borderId="0" xfId="18" applyFont="1" applyAlignment="1">
      <alignment vertical="top"/>
    </xf>
    <xf numFmtId="0" fontId="152" fillId="0" borderId="0" xfId="18" applyFont="1" applyAlignment="1">
      <alignment vertical="top" wrapText="1"/>
    </xf>
    <xf numFmtId="0" fontId="143" fillId="0" borderId="0" xfId="18" applyFont="1" applyAlignment="1">
      <alignment horizontal="right" vertical="top" wrapText="1"/>
    </xf>
    <xf numFmtId="164" fontId="143" fillId="17" borderId="34" xfId="18" applyNumberFormat="1" applyFont="1" applyFill="1" applyBorder="1" applyAlignment="1">
      <alignment vertical="center"/>
    </xf>
    <xf numFmtId="164" fontId="147" fillId="17" borderId="34" xfId="18" applyNumberFormat="1" applyFont="1" applyFill="1" applyBorder="1" applyAlignment="1">
      <alignment vertical="center"/>
    </xf>
    <xf numFmtId="0" fontId="147" fillId="0" borderId="0" xfId="18" applyFont="1" applyAlignment="1">
      <alignment vertical="top" wrapText="1"/>
    </xf>
    <xf numFmtId="0" fontId="143" fillId="0" borderId="0" xfId="18" applyFont="1" applyAlignment="1">
      <alignment vertical="top" wrapText="1"/>
    </xf>
    <xf numFmtId="0" fontId="147" fillId="13" borderId="0" xfId="18" applyFont="1" applyFill="1" applyAlignment="1">
      <alignment horizontal="center" vertical="top" wrapText="1"/>
    </xf>
    <xf numFmtId="0" fontId="147" fillId="13" borderId="0" xfId="0" applyFont="1" applyFill="1" applyAlignment="1">
      <alignment vertical="top" wrapText="1"/>
    </xf>
    <xf numFmtId="164" fontId="147" fillId="0" borderId="0" xfId="18" applyNumberFormat="1" applyFont="1" applyAlignment="1">
      <alignment vertical="center"/>
    </xf>
    <xf numFmtId="164" fontId="147" fillId="28" borderId="34" xfId="0" applyNumberFormat="1" applyFont="1" applyFill="1" applyBorder="1" applyAlignment="1" applyProtection="1">
      <alignment vertical="center"/>
      <protection locked="0"/>
    </xf>
    <xf numFmtId="0" fontId="147" fillId="0" borderId="0" xfId="0" applyFont="1" applyAlignment="1">
      <alignment vertical="top" wrapText="1"/>
    </xf>
    <xf numFmtId="0" fontId="144" fillId="0" borderId="0" xfId="18" applyFont="1" applyAlignment="1">
      <alignment horizontal="center" vertical="top" wrapText="1"/>
    </xf>
    <xf numFmtId="0" fontId="153" fillId="0" borderId="0" xfId="18" applyFont="1" applyAlignment="1">
      <alignment horizontal="center" vertical="top" wrapText="1"/>
    </xf>
    <xf numFmtId="0" fontId="152" fillId="0" borderId="7" xfId="0" applyFont="1" applyBorder="1" applyAlignment="1">
      <alignment horizontal="center" vertical="top" wrapText="1"/>
    </xf>
    <xf numFmtId="0" fontId="152" fillId="0" borderId="21" xfId="0" applyFont="1" applyBorder="1" applyAlignment="1">
      <alignment horizontal="center" vertical="top" wrapText="1"/>
    </xf>
    <xf numFmtId="0" fontId="144" fillId="13" borderId="0" xfId="18" applyFont="1" applyFill="1" applyAlignment="1">
      <alignment vertical="top"/>
    </xf>
    <xf numFmtId="0" fontId="144" fillId="22" borderId="29" xfId="18" applyFont="1" applyFill="1" applyBorder="1" applyAlignment="1" applyProtection="1">
      <alignment horizontal="left" vertical="center"/>
      <protection locked="0"/>
    </xf>
    <xf numFmtId="164" fontId="144" fillId="22" borderId="29" xfId="18" applyNumberFormat="1" applyFont="1" applyFill="1" applyBorder="1" applyAlignment="1" applyProtection="1">
      <alignment horizontal="right" vertical="center"/>
      <protection locked="0"/>
    </xf>
    <xf numFmtId="0" fontId="144" fillId="0" borderId="0" xfId="18" applyFont="1" applyAlignment="1">
      <alignment vertical="top"/>
    </xf>
    <xf numFmtId="0" fontId="144" fillId="13" borderId="29" xfId="18" applyFont="1" applyFill="1" applyBorder="1" applyAlignment="1">
      <alignment horizontal="left" vertical="center"/>
    </xf>
    <xf numFmtId="164" fontId="144" fillId="13" borderId="29" xfId="18" applyNumberFormat="1" applyFont="1" applyFill="1" applyBorder="1" applyAlignment="1">
      <alignment horizontal="right" vertical="center"/>
    </xf>
    <xf numFmtId="164" fontId="143" fillId="0" borderId="0" xfId="18" applyNumberFormat="1" applyFont="1"/>
    <xf numFmtId="0" fontId="146" fillId="13" borderId="0" xfId="18" quotePrefix="1" applyFont="1" applyFill="1" applyAlignment="1">
      <alignment horizontal="left" vertical="top"/>
    </xf>
    <xf numFmtId="0" fontId="146" fillId="21" borderId="0" xfId="18" applyFont="1" applyFill="1" applyAlignment="1">
      <alignment horizontal="left" vertical="top"/>
    </xf>
    <xf numFmtId="0" fontId="152" fillId="13" borderId="7" xfId="18" applyFont="1" applyFill="1" applyBorder="1" applyAlignment="1">
      <alignment horizontal="center" vertical="top" wrapText="1"/>
    </xf>
    <xf numFmtId="0" fontId="144" fillId="13" borderId="8" xfId="18" applyFont="1" applyFill="1" applyBorder="1" applyAlignment="1">
      <alignment horizontal="center" vertical="top" wrapText="1"/>
    </xf>
    <xf numFmtId="0" fontId="152" fillId="0" borderId="29" xfId="18" applyFont="1" applyBorder="1" applyAlignment="1">
      <alignment horizontal="center" vertical="top" wrapText="1"/>
    </xf>
    <xf numFmtId="0" fontId="147" fillId="0" borderId="29" xfId="18" applyFont="1" applyBorder="1"/>
    <xf numFmtId="0" fontId="143" fillId="0" borderId="29" xfId="18" applyFont="1" applyBorder="1"/>
    <xf numFmtId="164" fontId="152" fillId="25" borderId="29" xfId="18" applyNumberFormat="1" applyFont="1" applyFill="1" applyBorder="1" applyAlignment="1">
      <alignment vertical="center"/>
    </xf>
    <xf numFmtId="9" fontId="0" fillId="25" borderId="0" xfId="0" applyNumberFormat="1" applyFill="1" applyAlignment="1">
      <alignment horizontal="center"/>
    </xf>
    <xf numFmtId="9" fontId="5" fillId="25" borderId="0" xfId="22" applyFont="1" applyFill="1" applyAlignment="1">
      <alignment horizontal="center"/>
    </xf>
    <xf numFmtId="164" fontId="9" fillId="27" borderId="26" xfId="18" applyNumberFormat="1" applyFont="1" applyFill="1" applyBorder="1" applyAlignment="1">
      <alignment horizontal="center" vertical="top"/>
    </xf>
    <xf numFmtId="164" fontId="9" fillId="27" borderId="55" xfId="18" applyNumberFormat="1" applyFont="1" applyFill="1" applyBorder="1" applyAlignment="1">
      <alignment horizontal="center" vertical="top"/>
    </xf>
    <xf numFmtId="2" fontId="45" fillId="25" borderId="55" xfId="18" applyNumberFormat="1" applyFont="1" applyFill="1" applyBorder="1" applyAlignment="1">
      <alignment horizontal="center" vertical="top" wrapText="1"/>
    </xf>
    <xf numFmtId="9" fontId="45" fillId="25" borderId="55" xfId="18" applyNumberFormat="1" applyFont="1" applyFill="1" applyBorder="1" applyAlignment="1">
      <alignment horizontal="center" vertical="top" wrapText="1"/>
    </xf>
    <xf numFmtId="0" fontId="89" fillId="0" borderId="0" xfId="18" applyFont="1" applyAlignment="1">
      <alignment vertical="top"/>
    </xf>
    <xf numFmtId="0" fontId="14" fillId="27" borderId="0" xfId="21" applyFont="1" applyFill="1" applyAlignment="1">
      <alignment horizontal="left" vertical="top" wrapText="1"/>
    </xf>
    <xf numFmtId="0" fontId="5" fillId="26" borderId="49" xfId="18" applyFill="1" applyBorder="1" applyAlignment="1">
      <alignment vertical="top"/>
    </xf>
    <xf numFmtId="0" fontId="5" fillId="26" borderId="49" xfId="0" applyFont="1" applyFill="1" applyBorder="1" applyAlignment="1">
      <alignment vertical="top"/>
    </xf>
    <xf numFmtId="0" fontId="5" fillId="26" borderId="104" xfId="18" applyFill="1" applyBorder="1" applyAlignment="1">
      <alignment vertical="top"/>
    </xf>
    <xf numFmtId="0" fontId="5" fillId="26" borderId="54" xfId="18" applyFill="1" applyBorder="1" applyAlignment="1">
      <alignment vertical="top"/>
    </xf>
    <xf numFmtId="0" fontId="5" fillId="26" borderId="105" xfId="18" applyFill="1" applyBorder="1" applyAlignment="1">
      <alignment vertical="top"/>
    </xf>
    <xf numFmtId="0" fontId="5" fillId="26" borderId="55" xfId="18" applyFill="1" applyBorder="1" applyAlignment="1">
      <alignment vertical="top"/>
    </xf>
    <xf numFmtId="0" fontId="5" fillId="26" borderId="56" xfId="18" applyFill="1" applyBorder="1" applyAlignment="1">
      <alignment vertical="top"/>
    </xf>
    <xf numFmtId="0" fontId="5" fillId="26" borderId="107" xfId="18" applyFill="1" applyBorder="1" applyAlignment="1">
      <alignment vertical="top"/>
    </xf>
    <xf numFmtId="0" fontId="143" fillId="26" borderId="0" xfId="18" applyFont="1" applyFill="1" applyAlignment="1">
      <alignment vertical="top"/>
    </xf>
    <xf numFmtId="0" fontId="143" fillId="26" borderId="0" xfId="0" applyFont="1" applyFill="1" applyAlignment="1">
      <alignment horizontal="left" vertical="top" wrapText="1"/>
    </xf>
    <xf numFmtId="0" fontId="58" fillId="25" borderId="29" xfId="18" applyFont="1" applyFill="1" applyBorder="1" applyAlignment="1">
      <alignment horizontal="center" vertical="top" wrapText="1"/>
    </xf>
    <xf numFmtId="0" fontId="2" fillId="26" borderId="87" xfId="21" applyFont="1" applyFill="1" applyBorder="1"/>
    <xf numFmtId="0" fontId="2" fillId="26" borderId="73" xfId="21" applyFont="1" applyFill="1" applyBorder="1"/>
    <xf numFmtId="0" fontId="2" fillId="26" borderId="88" xfId="21" applyFont="1" applyFill="1" applyBorder="1"/>
    <xf numFmtId="0" fontId="2" fillId="42" borderId="73" xfId="21" applyFont="1" applyFill="1" applyBorder="1"/>
    <xf numFmtId="0" fontId="87" fillId="26" borderId="0" xfId="18" applyFont="1" applyFill="1" applyAlignment="1">
      <alignment vertical="top"/>
    </xf>
    <xf numFmtId="0" fontId="10" fillId="0" borderId="108" xfId="18" applyFont="1" applyBorder="1" applyAlignment="1">
      <alignment vertical="top"/>
    </xf>
    <xf numFmtId="0" fontId="10" fillId="0" borderId="109" xfId="18" applyFont="1" applyBorder="1" applyAlignment="1">
      <alignment vertical="top"/>
    </xf>
    <xf numFmtId="0" fontId="10" fillId="0" borderId="55" xfId="18" applyFont="1" applyBorder="1" applyAlignment="1">
      <alignment horizontal="center" vertical="top" wrapText="1"/>
    </xf>
    <xf numFmtId="0" fontId="58" fillId="25" borderId="55" xfId="18" applyFont="1" applyFill="1" applyBorder="1" applyAlignment="1">
      <alignment horizontal="center" vertical="top" wrapText="1"/>
    </xf>
    <xf numFmtId="164" fontId="7" fillId="25" borderId="27" xfId="18" applyNumberFormat="1" applyFont="1" applyFill="1" applyBorder="1" applyAlignment="1">
      <alignment vertical="top"/>
    </xf>
    <xf numFmtId="164" fontId="155" fillId="25" borderId="65" xfId="18" applyNumberFormat="1" applyFont="1" applyFill="1" applyBorder="1" applyAlignment="1">
      <alignment vertical="top"/>
    </xf>
    <xf numFmtId="164" fontId="5" fillId="25" borderId="29" xfId="18" quotePrefix="1" applyNumberFormat="1" applyFill="1" applyBorder="1" applyAlignment="1">
      <alignment vertical="top"/>
    </xf>
    <xf numFmtId="164" fontId="7" fillId="25" borderId="7" xfId="18" applyNumberFormat="1" applyFont="1" applyFill="1" applyBorder="1" applyAlignment="1">
      <alignment vertical="top"/>
    </xf>
    <xf numFmtId="164" fontId="155" fillId="25" borderId="66" xfId="18" quotePrefix="1" applyNumberFormat="1" applyFont="1" applyFill="1" applyBorder="1" applyAlignment="1">
      <alignment vertical="top"/>
    </xf>
    <xf numFmtId="164" fontId="155" fillId="25" borderId="66" xfId="18" applyNumberFormat="1" applyFont="1" applyFill="1" applyBorder="1" applyAlignment="1">
      <alignment vertical="top"/>
    </xf>
    <xf numFmtId="165" fontId="5" fillId="25" borderId="26" xfId="18" applyNumberFormat="1" applyFill="1" applyBorder="1" applyAlignment="1">
      <alignment vertical="top"/>
    </xf>
    <xf numFmtId="165" fontId="5" fillId="25" borderId="29" xfId="18" quotePrefix="1" applyNumberFormat="1" applyFill="1" applyBorder="1" applyAlignment="1">
      <alignment vertical="top"/>
    </xf>
    <xf numFmtId="165" fontId="5" fillId="25" borderId="29" xfId="18" applyNumberFormat="1" applyFill="1" applyBorder="1" applyAlignment="1">
      <alignment vertical="top"/>
    </xf>
    <xf numFmtId="165" fontId="51" fillId="22" borderId="29" xfId="18" applyNumberFormat="1" applyFont="1" applyFill="1" applyBorder="1" applyAlignment="1" applyProtection="1">
      <alignment vertical="top"/>
      <protection locked="0"/>
    </xf>
    <xf numFmtId="165" fontId="27" fillId="25" borderId="29" xfId="18" applyNumberFormat="1" applyFont="1" applyFill="1" applyBorder="1" applyAlignment="1">
      <alignment vertical="top"/>
    </xf>
    <xf numFmtId="0" fontId="51" fillId="22" borderId="29" xfId="18" applyFont="1" applyFill="1" applyBorder="1" applyAlignment="1" applyProtection="1">
      <alignment vertical="top"/>
      <protection locked="0"/>
    </xf>
    <xf numFmtId="164" fontId="27" fillId="22" borderId="29" xfId="18" applyNumberFormat="1" applyFont="1" applyFill="1" applyBorder="1" applyAlignment="1" applyProtection="1">
      <alignment vertical="top"/>
      <protection locked="0"/>
    </xf>
    <xf numFmtId="164" fontId="101" fillId="22" borderId="66" xfId="18" applyNumberFormat="1" applyFont="1" applyFill="1" applyBorder="1" applyAlignment="1" applyProtection="1">
      <alignment vertical="top"/>
      <protection locked="0"/>
    </xf>
    <xf numFmtId="164" fontId="7" fillId="25" borderId="29" xfId="18" applyNumberFormat="1" applyFont="1" applyFill="1" applyBorder="1" applyAlignment="1">
      <alignment vertical="top"/>
    </xf>
    <xf numFmtId="164" fontId="35" fillId="25" borderId="66" xfId="18" quotePrefix="1" applyNumberFormat="1" applyFont="1" applyFill="1" applyBorder="1" applyAlignment="1">
      <alignment vertical="top"/>
    </xf>
    <xf numFmtId="164" fontId="35" fillId="25" borderId="66" xfId="18" applyNumberFormat="1" applyFont="1" applyFill="1" applyBorder="1" applyAlignment="1">
      <alignment vertical="top"/>
    </xf>
    <xf numFmtId="14" fontId="5" fillId="22" borderId="104" xfId="18" applyNumberFormat="1" applyFill="1" applyBorder="1" applyAlignment="1" applyProtection="1">
      <alignment horizontal="center" vertical="top" wrapText="1"/>
      <protection locked="0"/>
    </xf>
    <xf numFmtId="14" fontId="5" fillId="22" borderId="54" xfId="18" applyNumberFormat="1" applyFill="1" applyBorder="1" applyAlignment="1" applyProtection="1">
      <alignment horizontal="center" vertical="top" wrapText="1"/>
      <protection locked="0"/>
    </xf>
    <xf numFmtId="14" fontId="5" fillId="0" borderId="105" xfId="18" applyNumberFormat="1" applyBorder="1" applyAlignment="1">
      <alignment horizontal="center" vertical="top" wrapText="1"/>
    </xf>
    <xf numFmtId="14" fontId="5" fillId="0" borderId="55" xfId="18" applyNumberFormat="1" applyBorder="1" applyAlignment="1">
      <alignment horizontal="center" vertical="top" wrapText="1"/>
    </xf>
    <xf numFmtId="14" fontId="5" fillId="0" borderId="56" xfId="18" applyNumberFormat="1" applyBorder="1" applyAlignment="1">
      <alignment horizontal="center" vertical="top" wrapText="1"/>
    </xf>
    <xf numFmtId="0" fontId="5" fillId="27" borderId="0" xfId="21" applyFont="1" applyFill="1" applyAlignment="1">
      <alignment vertical="top"/>
    </xf>
    <xf numFmtId="0" fontId="5" fillId="26" borderId="0" xfId="21" applyFont="1" applyFill="1" applyAlignment="1">
      <alignment vertical="top"/>
    </xf>
    <xf numFmtId="0" fontId="0" fillId="27" borderId="0" xfId="0" applyFill="1" applyAlignment="1">
      <alignment vertical="top" wrapText="1"/>
    </xf>
    <xf numFmtId="0" fontId="141" fillId="26" borderId="0" xfId="21" applyFont="1" applyFill="1" applyAlignment="1">
      <alignment vertical="top"/>
    </xf>
    <xf numFmtId="0" fontId="138" fillId="26" borderId="0" xfId="21" applyFont="1" applyFill="1" applyAlignment="1">
      <alignment vertical="top"/>
    </xf>
    <xf numFmtId="0" fontId="3" fillId="26" borderId="0" xfId="21" applyFill="1" applyAlignment="1">
      <alignment vertical="top"/>
    </xf>
    <xf numFmtId="0" fontId="6" fillId="26" borderId="0" xfId="18" applyFont="1" applyFill="1" applyAlignment="1">
      <alignment vertical="top"/>
    </xf>
    <xf numFmtId="0" fontId="3" fillId="27" borderId="0" xfId="21" applyFill="1" applyAlignment="1">
      <alignment vertical="top"/>
    </xf>
    <xf numFmtId="0" fontId="140" fillId="26" borderId="29" xfId="21" applyFont="1" applyFill="1" applyBorder="1" applyAlignment="1">
      <alignment vertical="top" wrapText="1"/>
    </xf>
    <xf numFmtId="0" fontId="140" fillId="26" borderId="8" xfId="21" applyFont="1" applyFill="1" applyBorder="1" applyAlignment="1">
      <alignment vertical="top" wrapText="1"/>
    </xf>
    <xf numFmtId="0" fontId="140" fillId="28" borderId="91" xfId="21" applyFont="1" applyFill="1" applyBorder="1" applyAlignment="1" applyProtection="1">
      <alignment vertical="top"/>
      <protection locked="0"/>
    </xf>
    <xf numFmtId="0" fontId="3" fillId="28" borderId="94" xfId="21" applyFill="1" applyBorder="1" applyAlignment="1" applyProtection="1">
      <alignment vertical="top"/>
      <protection locked="0"/>
    </xf>
    <xf numFmtId="0" fontId="3" fillId="28" borderId="101" xfId="21" applyFill="1" applyBorder="1" applyAlignment="1" applyProtection="1">
      <alignment vertical="top"/>
      <protection locked="0"/>
    </xf>
    <xf numFmtId="165" fontId="3" fillId="28" borderId="101" xfId="21" applyNumberFormat="1" applyFill="1" applyBorder="1" applyAlignment="1" applyProtection="1">
      <alignment vertical="top"/>
      <protection locked="0"/>
    </xf>
    <xf numFmtId="0" fontId="3" fillId="26" borderId="96" xfId="21" applyFill="1" applyBorder="1" applyAlignment="1">
      <alignment vertical="top"/>
    </xf>
    <xf numFmtId="0" fontId="3" fillId="26" borderId="101" xfId="21" applyFill="1" applyBorder="1" applyAlignment="1">
      <alignment vertical="top"/>
    </xf>
    <xf numFmtId="0" fontId="140" fillId="28" borderId="87" xfId="21" applyFont="1" applyFill="1" applyBorder="1" applyAlignment="1" applyProtection="1">
      <alignment vertical="top"/>
      <protection locked="0"/>
    </xf>
    <xf numFmtId="0" fontId="3" fillId="28" borderId="88" xfId="21" applyFill="1" applyBorder="1" applyAlignment="1" applyProtection="1">
      <alignment vertical="top"/>
      <protection locked="0"/>
    </xf>
    <xf numFmtId="165" fontId="3" fillId="28" borderId="102" xfId="21" applyNumberFormat="1" applyFill="1" applyBorder="1" applyAlignment="1" applyProtection="1">
      <alignment vertical="top"/>
      <protection locked="0"/>
    </xf>
    <xf numFmtId="0" fontId="140" fillId="28" borderId="89" xfId="21" applyFont="1" applyFill="1" applyBorder="1" applyAlignment="1" applyProtection="1">
      <alignment vertical="top"/>
      <protection locked="0"/>
    </xf>
    <xf numFmtId="0" fontId="3" fillId="28" borderId="90" xfId="21" applyFill="1" applyBorder="1" applyAlignment="1" applyProtection="1">
      <alignment vertical="top"/>
      <protection locked="0"/>
    </xf>
    <xf numFmtId="0" fontId="3" fillId="28" borderId="25" xfId="21" applyFill="1" applyBorder="1" applyAlignment="1" applyProtection="1">
      <alignment vertical="top"/>
      <protection locked="0"/>
    </xf>
    <xf numFmtId="165" fontId="3" fillId="28" borderId="103" xfId="21" applyNumberFormat="1" applyFill="1" applyBorder="1" applyAlignment="1" applyProtection="1">
      <alignment vertical="top"/>
      <protection locked="0"/>
    </xf>
    <xf numFmtId="0" fontId="140" fillId="0" borderId="29" xfId="21" applyFont="1" applyBorder="1" applyAlignment="1">
      <alignment vertical="top"/>
    </xf>
    <xf numFmtId="165" fontId="140" fillId="0" borderId="29" xfId="21" applyNumberFormat="1" applyFont="1" applyBorder="1" applyAlignment="1">
      <alignment vertical="top"/>
    </xf>
    <xf numFmtId="0" fontId="140" fillId="26" borderId="29" xfId="21" applyFont="1" applyFill="1" applyBorder="1" applyAlignment="1">
      <alignment vertical="top"/>
    </xf>
    <xf numFmtId="0" fontId="140" fillId="26" borderId="8" xfId="21" applyFont="1" applyFill="1" applyBorder="1" applyAlignment="1">
      <alignment vertical="top"/>
    </xf>
    <xf numFmtId="0" fontId="13" fillId="27" borderId="0" xfId="18" applyFont="1" applyFill="1" applyAlignment="1">
      <alignment vertical="top"/>
    </xf>
    <xf numFmtId="0" fontId="6" fillId="31" borderId="0" xfId="18" applyFont="1" applyFill="1" applyAlignment="1">
      <alignment vertical="top" wrapText="1"/>
    </xf>
    <xf numFmtId="165" fontId="10" fillId="25" borderId="29" xfId="18" applyNumberFormat="1" applyFont="1" applyFill="1" applyBorder="1" applyAlignment="1">
      <alignment horizontal="right" vertical="top"/>
    </xf>
    <xf numFmtId="165" fontId="9" fillId="25" borderId="29" xfId="18" applyNumberFormat="1" applyFont="1" applyFill="1" applyBorder="1" applyAlignment="1">
      <alignment horizontal="right" vertical="top"/>
    </xf>
    <xf numFmtId="165" fontId="9" fillId="27" borderId="29" xfId="18" applyNumberFormat="1" applyFont="1" applyFill="1" applyBorder="1" applyAlignment="1">
      <alignment horizontal="center" vertical="top" wrapText="1"/>
    </xf>
    <xf numFmtId="165" fontId="5" fillId="27" borderId="29" xfId="18" applyNumberFormat="1" applyFill="1" applyBorder="1" applyAlignment="1">
      <alignment vertical="top"/>
    </xf>
    <xf numFmtId="0" fontId="156" fillId="27" borderId="0" xfId="21" applyFont="1" applyFill="1" applyAlignment="1">
      <alignment vertical="top"/>
    </xf>
    <xf numFmtId="0" fontId="5" fillId="27" borderId="0" xfId="0" applyFont="1" applyFill="1" applyAlignment="1">
      <alignment vertical="top" wrapText="1"/>
    </xf>
    <xf numFmtId="0" fontId="156" fillId="27" borderId="0" xfId="21" applyFont="1" applyFill="1" applyAlignment="1">
      <alignment horizontal="center" vertical="top"/>
    </xf>
    <xf numFmtId="0" fontId="156" fillId="27" borderId="0" xfId="21" applyFont="1" applyFill="1" applyAlignment="1">
      <alignment vertical="top" wrapText="1"/>
    </xf>
    <xf numFmtId="9" fontId="156" fillId="27" borderId="0" xfId="21" applyNumberFormat="1" applyFont="1" applyFill="1" applyAlignment="1">
      <alignment vertical="top"/>
    </xf>
    <xf numFmtId="0" fontId="5" fillId="28" borderId="29" xfId="0" applyFont="1" applyFill="1" applyBorder="1" applyAlignment="1" applyProtection="1">
      <alignment vertical="top" wrapText="1"/>
      <protection locked="0"/>
    </xf>
    <xf numFmtId="0" fontId="156" fillId="26" borderId="0" xfId="21" applyFont="1" applyFill="1" applyAlignment="1">
      <alignment vertical="top"/>
    </xf>
    <xf numFmtId="0" fontId="5" fillId="26" borderId="0" xfId="0" applyFont="1" applyFill="1" applyAlignment="1">
      <alignment vertical="top" wrapText="1"/>
    </xf>
    <xf numFmtId="0" fontId="156" fillId="26" borderId="0" xfId="21" applyFont="1" applyFill="1" applyAlignment="1">
      <alignment vertical="top" wrapText="1"/>
    </xf>
    <xf numFmtId="0" fontId="7" fillId="13" borderId="0" xfId="18" applyFont="1" applyFill="1" applyAlignment="1">
      <alignment horizontal="center" vertical="top" wrapText="1"/>
    </xf>
    <xf numFmtId="0" fontId="156" fillId="27" borderId="0" xfId="21" applyFont="1" applyFill="1" applyAlignment="1">
      <alignment horizontal="center" vertical="top" wrapText="1"/>
    </xf>
    <xf numFmtId="9" fontId="154" fillId="27" borderId="29" xfId="21" applyNumberFormat="1" applyFont="1" applyFill="1" applyBorder="1" applyAlignment="1">
      <alignment vertical="top" wrapText="1"/>
    </xf>
    <xf numFmtId="0" fontId="157" fillId="27" borderId="29" xfId="21" applyFont="1" applyFill="1" applyBorder="1" applyAlignment="1">
      <alignment vertical="top" wrapText="1"/>
    </xf>
    <xf numFmtId="0" fontId="154" fillId="27" borderId="29" xfId="21" applyFont="1" applyFill="1" applyBorder="1" applyAlignment="1">
      <alignment vertical="top"/>
    </xf>
    <xf numFmtId="0" fontId="7" fillId="27" borderId="29" xfId="21" applyFont="1" applyFill="1" applyBorder="1" applyAlignment="1">
      <alignment vertical="top" wrapText="1"/>
    </xf>
    <xf numFmtId="0" fontId="154" fillId="26" borderId="29" xfId="21" applyFont="1" applyFill="1" applyBorder="1" applyAlignment="1">
      <alignment vertical="top"/>
    </xf>
    <xf numFmtId="0" fontId="154" fillId="27" borderId="26" xfId="21" applyFont="1" applyFill="1" applyBorder="1" applyAlignment="1">
      <alignment vertical="top"/>
    </xf>
    <xf numFmtId="0" fontId="156" fillId="0" borderId="29" xfId="21" applyFont="1" applyBorder="1" applyAlignment="1">
      <alignment vertical="top"/>
    </xf>
    <xf numFmtId="0" fontId="156" fillId="0" borderId="55" xfId="21" applyFont="1" applyBorder="1" applyAlignment="1">
      <alignment vertical="top"/>
    </xf>
    <xf numFmtId="164" fontId="154" fillId="25" borderId="29" xfId="21" applyNumberFormat="1" applyFont="1" applyFill="1" applyBorder="1" applyAlignment="1">
      <alignment vertical="top"/>
    </xf>
    <xf numFmtId="164" fontId="157" fillId="25" borderId="29" xfId="21" applyNumberFormat="1" applyFont="1" applyFill="1" applyBorder="1" applyAlignment="1">
      <alignment vertical="top"/>
    </xf>
    <xf numFmtId="164" fontId="154" fillId="25" borderId="55" xfId="21" applyNumberFormat="1" applyFont="1" applyFill="1" applyBorder="1" applyAlignment="1">
      <alignment vertical="top"/>
    </xf>
    <xf numFmtId="164" fontId="157" fillId="25" borderId="55" xfId="21" applyNumberFormat="1" applyFont="1" applyFill="1" applyBorder="1" applyAlignment="1">
      <alignment vertical="top"/>
    </xf>
    <xf numFmtId="164" fontId="154" fillId="25" borderId="26" xfId="21" applyNumberFormat="1" applyFont="1" applyFill="1" applyBorder="1" applyAlignment="1">
      <alignment vertical="top"/>
    </xf>
    <xf numFmtId="164" fontId="157" fillId="25" borderId="26" xfId="21" applyNumberFormat="1" applyFont="1" applyFill="1" applyBorder="1" applyAlignment="1">
      <alignment vertical="top"/>
    </xf>
    <xf numFmtId="0" fontId="138" fillId="27" borderId="0" xfId="21" applyFont="1" applyFill="1" applyAlignment="1">
      <alignment vertical="top"/>
    </xf>
    <xf numFmtId="0" fontId="3" fillId="27" borderId="0" xfId="21" applyFill="1" applyAlignment="1">
      <alignment vertical="top" wrapText="1"/>
    </xf>
    <xf numFmtId="0" fontId="140" fillId="27" borderId="92" xfId="21" applyFont="1" applyFill="1" applyBorder="1" applyAlignment="1">
      <alignment vertical="top" wrapText="1"/>
    </xf>
    <xf numFmtId="0" fontId="140" fillId="27" borderId="93" xfId="21" applyFont="1" applyFill="1" applyBorder="1" applyAlignment="1">
      <alignment vertical="top" wrapText="1"/>
    </xf>
    <xf numFmtId="0" fontId="140" fillId="27" borderId="29" xfId="21" applyFont="1" applyFill="1" applyBorder="1" applyAlignment="1">
      <alignment vertical="top" wrapText="1"/>
    </xf>
    <xf numFmtId="0" fontId="140" fillId="27" borderId="8" xfId="21" applyFont="1" applyFill="1" applyBorder="1" applyAlignment="1">
      <alignment horizontal="center" vertical="top" wrapText="1"/>
    </xf>
    <xf numFmtId="0" fontId="140" fillId="27" borderId="95" xfId="21" applyFont="1" applyFill="1" applyBorder="1" applyAlignment="1">
      <alignment horizontal="center" vertical="top" wrapText="1"/>
    </xf>
    <xf numFmtId="0" fontId="140" fillId="27" borderId="93" xfId="21" applyFont="1" applyFill="1" applyBorder="1" applyAlignment="1">
      <alignment horizontal="center" vertical="top" wrapText="1"/>
    </xf>
    <xf numFmtId="2" fontId="7" fillId="33" borderId="47" xfId="0" applyNumberFormat="1" applyFont="1" applyFill="1" applyBorder="1" applyAlignment="1">
      <alignment horizontal="center"/>
    </xf>
    <xf numFmtId="2" fontId="7" fillId="33" borderId="48" xfId="0" applyNumberFormat="1" applyFont="1" applyFill="1" applyBorder="1" applyAlignment="1">
      <alignment horizontal="center"/>
    </xf>
    <xf numFmtId="2" fontId="7" fillId="33" borderId="46" xfId="0" applyNumberFormat="1" applyFont="1" applyFill="1" applyBorder="1" applyAlignment="1">
      <alignment horizontal="center"/>
    </xf>
    <xf numFmtId="0" fontId="87" fillId="0" borderId="0" xfId="0" quotePrefix="1" applyFont="1"/>
    <xf numFmtId="0" fontId="158" fillId="43" borderId="0" xfId="0" applyFont="1" applyFill="1"/>
    <xf numFmtId="0" fontId="143" fillId="43" borderId="0" xfId="0" applyFont="1" applyFill="1"/>
    <xf numFmtId="0" fontId="5" fillId="26" borderId="50" xfId="18" applyFill="1" applyBorder="1" applyAlignment="1">
      <alignment vertical="top"/>
    </xf>
    <xf numFmtId="0" fontId="5" fillId="26" borderId="51" xfId="18" applyFill="1" applyBorder="1" applyAlignment="1">
      <alignment vertical="top"/>
    </xf>
    <xf numFmtId="0" fontId="5" fillId="26" borderId="45" xfId="0" applyFont="1" applyFill="1" applyBorder="1"/>
    <xf numFmtId="0" fontId="35" fillId="26" borderId="43" xfId="0" applyFont="1" applyFill="1" applyBorder="1"/>
    <xf numFmtId="0" fontId="35" fillId="26" borderId="84" xfId="0" applyFont="1" applyFill="1" applyBorder="1"/>
    <xf numFmtId="0" fontId="35" fillId="26" borderId="0" xfId="0" applyFont="1" applyFill="1"/>
    <xf numFmtId="0" fontId="5" fillId="26" borderId="45" xfId="18" applyFill="1" applyBorder="1" applyAlignment="1">
      <alignment vertical="top"/>
    </xf>
    <xf numFmtId="0" fontId="35" fillId="26" borderId="49" xfId="0" applyFont="1" applyFill="1" applyBorder="1"/>
    <xf numFmtId="0" fontId="35" fillId="26" borderId="50" xfId="0" applyFont="1" applyFill="1" applyBorder="1"/>
    <xf numFmtId="0" fontId="5" fillId="26" borderId="44" xfId="18" applyFill="1" applyBorder="1" applyAlignment="1">
      <alignment vertical="top"/>
    </xf>
    <xf numFmtId="0" fontId="5" fillId="26" borderId="42" xfId="18" applyFill="1" applyBorder="1" applyAlignment="1">
      <alignment vertical="top"/>
    </xf>
    <xf numFmtId="0" fontId="87" fillId="26" borderId="0" xfId="18" applyFont="1" applyFill="1" applyAlignment="1">
      <alignment vertical="center"/>
    </xf>
    <xf numFmtId="0" fontId="151" fillId="0" borderId="0" xfId="18" applyFont="1" applyAlignment="1">
      <alignment horizontal="left" vertical="top" wrapText="1"/>
    </xf>
    <xf numFmtId="0" fontId="149" fillId="13" borderId="33" xfId="18" applyFont="1" applyFill="1" applyBorder="1" applyAlignment="1">
      <alignment vertical="top" wrapText="1"/>
    </xf>
    <xf numFmtId="0" fontId="151" fillId="0" borderId="0" xfId="18" applyFont="1" applyAlignment="1">
      <alignment horizontal="left" vertical="top"/>
    </xf>
    <xf numFmtId="0" fontId="143" fillId="39" borderId="0" xfId="18" applyFont="1" applyFill="1" applyAlignment="1">
      <alignment vertical="top"/>
    </xf>
    <xf numFmtId="164" fontId="144" fillId="27" borderId="29" xfId="18" applyNumberFormat="1" applyFont="1" applyFill="1" applyBorder="1" applyAlignment="1">
      <alignment horizontal="center" vertical="top"/>
    </xf>
    <xf numFmtId="2" fontId="152" fillId="0" borderId="29" xfId="18" applyNumberFormat="1" applyFont="1" applyBorder="1" applyAlignment="1">
      <alignment horizontal="center" vertical="top"/>
    </xf>
    <xf numFmtId="2" fontId="161" fillId="0" borderId="29" xfId="18" applyNumberFormat="1" applyFont="1" applyBorder="1" applyAlignment="1">
      <alignment horizontal="center" vertical="top"/>
    </xf>
    <xf numFmtId="2" fontId="144" fillId="0" borderId="29" xfId="18" applyNumberFormat="1" applyFont="1" applyBorder="1" applyAlignment="1">
      <alignment horizontal="center" vertical="top"/>
    </xf>
    <xf numFmtId="2" fontId="152" fillId="22" borderId="29" xfId="18" applyNumberFormat="1" applyFont="1" applyFill="1" applyBorder="1" applyAlignment="1" applyProtection="1">
      <alignment horizontal="center" vertical="top"/>
      <protection locked="0"/>
    </xf>
    <xf numFmtId="2" fontId="161" fillId="22" borderId="29" xfId="18" applyNumberFormat="1" applyFont="1" applyFill="1" applyBorder="1" applyAlignment="1" applyProtection="1">
      <alignment horizontal="center" vertical="top"/>
      <protection locked="0"/>
    </xf>
    <xf numFmtId="2" fontId="144" fillId="22" borderId="29" xfId="18" applyNumberFormat="1" applyFont="1" applyFill="1" applyBorder="1" applyAlignment="1" applyProtection="1">
      <alignment horizontal="center" vertical="top"/>
      <protection locked="0"/>
    </xf>
    <xf numFmtId="2" fontId="152" fillId="27" borderId="29" xfId="18" applyNumberFormat="1" applyFont="1" applyFill="1" applyBorder="1" applyAlignment="1">
      <alignment horizontal="center" vertical="top"/>
    </xf>
    <xf numFmtId="2" fontId="161" fillId="27" borderId="29" xfId="18" applyNumberFormat="1" applyFont="1" applyFill="1" applyBorder="1" applyAlignment="1">
      <alignment horizontal="center" vertical="top"/>
    </xf>
    <xf numFmtId="2" fontId="144" fillId="27" borderId="29" xfId="18" applyNumberFormat="1" applyFont="1" applyFill="1" applyBorder="1" applyAlignment="1">
      <alignment horizontal="center" vertical="top"/>
    </xf>
    <xf numFmtId="0" fontId="87" fillId="0" borderId="0" xfId="18" applyFont="1" applyAlignment="1">
      <alignment vertical="top" wrapText="1"/>
    </xf>
    <xf numFmtId="0" fontId="5" fillId="0" borderId="27" xfId="18" applyBorder="1" applyAlignment="1">
      <alignment vertical="top"/>
    </xf>
    <xf numFmtId="0" fontId="87" fillId="0" borderId="30" xfId="18" applyFont="1" applyBorder="1" applyAlignment="1">
      <alignment vertical="top"/>
    </xf>
    <xf numFmtId="0" fontId="5" fillId="0" borderId="30" xfId="18" applyBorder="1" applyAlignment="1">
      <alignment vertical="top"/>
    </xf>
    <xf numFmtId="0" fontId="5" fillId="0" borderId="7" xfId="18" applyBorder="1" applyAlignment="1">
      <alignment vertical="top"/>
    </xf>
    <xf numFmtId="0" fontId="87" fillId="0" borderId="32" xfId="18" applyFont="1" applyBorder="1" applyAlignment="1">
      <alignment vertical="top"/>
    </xf>
    <xf numFmtId="0" fontId="5" fillId="0" borderId="32" xfId="18" applyBorder="1" applyAlignment="1">
      <alignment vertical="top"/>
    </xf>
    <xf numFmtId="0" fontId="5" fillId="0" borderId="32" xfId="18" applyBorder="1" applyAlignment="1">
      <alignment vertical="center"/>
    </xf>
    <xf numFmtId="0" fontId="5" fillId="13" borderId="0" xfId="18" applyFill="1" applyAlignment="1">
      <alignment vertical="top" wrapText="1"/>
    </xf>
    <xf numFmtId="0" fontId="144" fillId="0" borderId="29" xfId="18" applyFont="1" applyBorder="1" applyAlignment="1">
      <alignment horizontal="center" vertical="top" wrapText="1"/>
    </xf>
    <xf numFmtId="165" fontId="152" fillId="25" borderId="29" xfId="18" applyNumberFormat="1" applyFont="1" applyFill="1" applyBorder="1" applyAlignment="1">
      <alignment horizontal="center" vertical="top"/>
    </xf>
    <xf numFmtId="165" fontId="144" fillId="28" borderId="29" xfId="18" applyNumberFormat="1" applyFont="1" applyFill="1" applyBorder="1" applyAlignment="1" applyProtection="1">
      <alignment horizontal="right" vertical="top"/>
      <protection locked="0"/>
    </xf>
    <xf numFmtId="164" fontId="152" fillId="25" borderId="29" xfId="18" applyNumberFormat="1" applyFont="1" applyFill="1" applyBorder="1" applyAlignment="1">
      <alignment horizontal="right" vertical="top"/>
    </xf>
    <xf numFmtId="164" fontId="144" fillId="25" borderId="29" xfId="18" applyNumberFormat="1" applyFont="1" applyFill="1" applyBorder="1" applyAlignment="1">
      <alignment horizontal="right" vertical="top"/>
    </xf>
    <xf numFmtId="165" fontId="152" fillId="27" borderId="29" xfId="18" applyNumberFormat="1" applyFont="1" applyFill="1" applyBorder="1" applyAlignment="1">
      <alignment horizontal="center" vertical="top"/>
    </xf>
    <xf numFmtId="165" fontId="144" fillId="27" borderId="29" xfId="18" applyNumberFormat="1" applyFont="1" applyFill="1" applyBorder="1" applyAlignment="1">
      <alignment horizontal="center" vertical="top"/>
    </xf>
    <xf numFmtId="164" fontId="152" fillId="27" borderId="29" xfId="18" applyNumberFormat="1" applyFont="1" applyFill="1" applyBorder="1" applyAlignment="1">
      <alignment horizontal="center" vertical="top"/>
    </xf>
    <xf numFmtId="164" fontId="144" fillId="27" borderId="29" xfId="18" applyNumberFormat="1" applyFont="1" applyFill="1" applyBorder="1" applyAlignment="1">
      <alignment vertical="top"/>
    </xf>
    <xf numFmtId="0" fontId="162" fillId="26" borderId="0" xfId="21" applyFont="1" applyFill="1" applyAlignment="1">
      <alignment vertical="top"/>
    </xf>
    <xf numFmtId="0" fontId="162" fillId="27" borderId="0" xfId="21" applyFont="1" applyFill="1" applyAlignment="1">
      <alignment vertical="top"/>
    </xf>
    <xf numFmtId="0" fontId="163" fillId="0" borderId="0" xfId="0" applyFont="1" applyAlignment="1">
      <alignment horizontal="center" vertical="top"/>
    </xf>
    <xf numFmtId="0" fontId="0" fillId="0" borderId="0" xfId="0" applyAlignment="1">
      <alignment horizontal="left" vertical="top" wrapText="1"/>
    </xf>
    <xf numFmtId="0" fontId="5" fillId="0" borderId="0" xfId="18" applyAlignment="1">
      <alignment wrapText="1"/>
    </xf>
    <xf numFmtId="0" fontId="8" fillId="0" borderId="0" xfId="18" applyFont="1" applyAlignment="1">
      <alignment horizontal="left" vertical="top" wrapText="1"/>
    </xf>
    <xf numFmtId="0" fontId="0" fillId="0" borderId="30" xfId="0" applyBorder="1" applyAlignment="1">
      <alignment horizontal="left" vertical="top" wrapText="1"/>
    </xf>
    <xf numFmtId="0" fontId="5" fillId="0" borderId="0" xfId="18" applyAlignment="1">
      <alignment vertical="top" wrapText="1"/>
    </xf>
    <xf numFmtId="0" fontId="8" fillId="0" borderId="0" xfId="18" applyFont="1" applyAlignment="1">
      <alignment vertical="top" wrapText="1"/>
    </xf>
    <xf numFmtId="0" fontId="9" fillId="27" borderId="29" xfId="18" applyFont="1" applyFill="1" applyBorder="1" applyAlignment="1">
      <alignment vertical="top" wrapText="1"/>
    </xf>
    <xf numFmtId="0" fontId="2" fillId="26" borderId="85" xfId="21" applyFont="1" applyFill="1" applyBorder="1"/>
    <xf numFmtId="0" fontId="2" fillId="26" borderId="86" xfId="21" applyFont="1" applyFill="1" applyBorder="1"/>
    <xf numFmtId="0" fontId="2" fillId="26" borderId="99" xfId="21" applyFont="1" applyFill="1" applyBorder="1"/>
    <xf numFmtId="0" fontId="2" fillId="26" borderId="97" xfId="21" applyFont="1" applyFill="1" applyBorder="1"/>
    <xf numFmtId="0" fontId="2" fillId="26" borderId="98" xfId="21" applyFont="1" applyFill="1" applyBorder="1"/>
    <xf numFmtId="0" fontId="2" fillId="26" borderId="100" xfId="21" applyFont="1" applyFill="1" applyBorder="1"/>
    <xf numFmtId="0" fontId="2" fillId="27" borderId="0" xfId="21" applyFont="1" applyFill="1" applyAlignment="1">
      <alignment vertical="top"/>
    </xf>
    <xf numFmtId="0" fontId="2" fillId="26" borderId="101" xfId="22" applyNumberFormat="1" applyFont="1" applyFill="1" applyBorder="1" applyAlignment="1" applyProtection="1">
      <alignment horizontal="right" vertical="top"/>
    </xf>
    <xf numFmtId="0" fontId="0" fillId="0" borderId="0" xfId="0" applyAlignment="1">
      <alignment horizontal="left" vertical="top" wrapText="1"/>
    </xf>
    <xf numFmtId="0" fontId="0" fillId="27" borderId="0" xfId="0" applyFill="1" applyAlignment="1">
      <alignment horizontal="left" vertical="top" wrapText="1"/>
    </xf>
    <xf numFmtId="0" fontId="14" fillId="13" borderId="0" xfId="18" applyFont="1" applyFill="1" applyAlignment="1">
      <alignment vertical="top" wrapText="1"/>
    </xf>
    <xf numFmtId="0" fontId="10" fillId="0" borderId="29" xfId="18" applyFont="1" applyBorder="1" applyAlignment="1">
      <alignment horizontal="center" vertical="top" wrapText="1"/>
    </xf>
    <xf numFmtId="0" fontId="147" fillId="27" borderId="0" xfId="0" applyFont="1" applyFill="1" applyAlignment="1">
      <alignment horizontal="center" vertical="top"/>
    </xf>
    <xf numFmtId="0" fontId="143" fillId="13" borderId="0" xfId="0" quotePrefix="1" applyFont="1" applyFill="1" applyAlignment="1">
      <alignment horizontal="right" vertical="top"/>
    </xf>
    <xf numFmtId="10" fontId="10" fillId="22" borderId="29" xfId="18" applyNumberFormat="1" applyFont="1" applyFill="1" applyBorder="1" applyAlignment="1" applyProtection="1">
      <alignment horizontal="right" vertical="top"/>
      <protection locked="0"/>
    </xf>
    <xf numFmtId="0" fontId="147" fillId="27" borderId="0" xfId="18" applyFont="1" applyFill="1" applyAlignment="1">
      <alignment vertical="top"/>
    </xf>
    <xf numFmtId="0" fontId="143" fillId="28" borderId="29" xfId="18" applyFont="1" applyFill="1" applyBorder="1" applyAlignment="1" applyProtection="1">
      <alignment vertical="top"/>
      <protection locked="0"/>
    </xf>
    <xf numFmtId="0" fontId="143" fillId="27" borderId="0" xfId="18" applyFont="1" applyFill="1" applyAlignment="1">
      <alignment vertical="top"/>
    </xf>
    <xf numFmtId="0" fontId="137" fillId="0" borderId="0" xfId="18" applyFont="1" applyAlignment="1">
      <alignment vertical="top" wrapText="1"/>
    </xf>
    <xf numFmtId="0" fontId="5" fillId="27" borderId="0" xfId="0" applyFont="1" applyFill="1" applyAlignment="1">
      <alignment horizontal="center" vertical="top"/>
    </xf>
    <xf numFmtId="0" fontId="0" fillId="38" borderId="22" xfId="0" applyFill="1" applyBorder="1" applyAlignment="1">
      <alignment horizontal="left" vertical="top" wrapText="1"/>
    </xf>
    <xf numFmtId="0" fontId="0" fillId="38" borderId="28" xfId="0" applyFill="1" applyBorder="1" applyAlignment="1">
      <alignment horizontal="left" vertical="top" wrapText="1"/>
    </xf>
    <xf numFmtId="0" fontId="5" fillId="13" borderId="0" xfId="0" quotePrefix="1" applyFont="1" applyFill="1" applyAlignment="1">
      <alignment horizontal="right" vertical="top" wrapText="1"/>
    </xf>
    <xf numFmtId="0" fontId="0" fillId="0" borderId="0" xfId="0" applyBorder="1" applyAlignment="1">
      <alignment horizontal="left" vertical="top" wrapText="1"/>
    </xf>
    <xf numFmtId="169" fontId="10" fillId="22" borderId="29" xfId="18" applyNumberFormat="1" applyFont="1" applyFill="1" applyBorder="1" applyAlignment="1" applyProtection="1">
      <alignment horizontal="right" vertical="top"/>
      <protection locked="0"/>
    </xf>
    <xf numFmtId="0" fontId="10" fillId="13" borderId="29" xfId="18" applyFont="1" applyFill="1" applyBorder="1" applyAlignment="1">
      <alignment vertical="top" wrapText="1"/>
    </xf>
    <xf numFmtId="3" fontId="9" fillId="28" borderId="29" xfId="18" applyNumberFormat="1" applyFont="1" applyFill="1" applyBorder="1" applyAlignment="1" applyProtection="1">
      <alignment vertical="top" wrapText="1"/>
      <protection locked="0"/>
    </xf>
    <xf numFmtId="0" fontId="8" fillId="0" borderId="30" xfId="18" applyFont="1" applyBorder="1" applyAlignment="1">
      <alignment horizontal="left" vertical="top" wrapText="1"/>
    </xf>
    <xf numFmtId="2" fontId="45" fillId="28" borderId="26" xfId="18" applyNumberFormat="1" applyFont="1" applyFill="1" applyBorder="1" applyAlignment="1" applyProtection="1">
      <alignment horizontal="center" vertical="top" wrapText="1"/>
      <protection locked="0"/>
    </xf>
    <xf numFmtId="9" fontId="45" fillId="28" borderId="26" xfId="18" applyNumberFormat="1" applyFont="1" applyFill="1" applyBorder="1" applyAlignment="1" applyProtection="1">
      <alignment horizontal="center" vertical="top" wrapText="1"/>
      <protection locked="0"/>
    </xf>
    <xf numFmtId="2" fontId="45" fillId="28" borderId="29" xfId="18" applyNumberFormat="1" applyFont="1" applyFill="1" applyBorder="1" applyAlignment="1" applyProtection="1">
      <alignment horizontal="center" vertical="top" wrapText="1"/>
      <protection locked="0"/>
    </xf>
    <xf numFmtId="9" fontId="45" fillId="28" borderId="29" xfId="18" applyNumberFormat="1" applyFont="1" applyFill="1" applyBorder="1" applyAlignment="1" applyProtection="1">
      <alignment horizontal="center" vertical="top" wrapText="1"/>
      <protection locked="0"/>
    </xf>
    <xf numFmtId="0" fontId="9" fillId="28" borderId="29" xfId="18" applyFont="1" applyFill="1" applyBorder="1" applyAlignment="1" applyProtection="1">
      <alignment vertical="center"/>
      <protection locked="0"/>
    </xf>
    <xf numFmtId="0" fontId="5" fillId="26" borderId="0" xfId="18" applyNumberFormat="1" applyFill="1" applyAlignment="1" applyProtection="1">
      <alignment vertical="top"/>
    </xf>
    <xf numFmtId="165" fontId="51" fillId="44" borderId="29" xfId="18" applyNumberFormat="1" applyFont="1" applyFill="1" applyBorder="1" applyAlignment="1" applyProtection="1">
      <alignment vertical="top"/>
      <protection locked="0"/>
    </xf>
    <xf numFmtId="164" fontId="27" fillId="45" borderId="7" xfId="18" applyNumberFormat="1" applyFont="1" applyFill="1" applyBorder="1" applyAlignment="1">
      <alignment vertical="top"/>
    </xf>
    <xf numFmtId="164" fontId="100" fillId="44" borderId="66" xfId="18" applyNumberFormat="1" applyFont="1" applyFill="1" applyBorder="1" applyAlignment="1" applyProtection="1">
      <alignment vertical="top"/>
      <protection locked="0"/>
    </xf>
    <xf numFmtId="165" fontId="5" fillId="45" borderId="29" xfId="18" applyNumberFormat="1" applyFill="1" applyBorder="1" applyAlignment="1">
      <alignment vertical="top"/>
    </xf>
    <xf numFmtId="164" fontId="7" fillId="45" borderId="7" xfId="18" applyNumberFormat="1" applyFont="1" applyFill="1" applyBorder="1" applyAlignment="1">
      <alignment vertical="top"/>
    </xf>
    <xf numFmtId="164" fontId="155" fillId="45" borderId="67" xfId="18" applyNumberFormat="1" applyFont="1" applyFill="1" applyBorder="1" applyAlignment="1">
      <alignment vertical="top"/>
    </xf>
    <xf numFmtId="0" fontId="51" fillId="44" borderId="29" xfId="18" applyFont="1" applyFill="1" applyBorder="1" applyAlignment="1" applyProtection="1">
      <alignment vertical="top"/>
      <protection locked="0"/>
    </xf>
    <xf numFmtId="164" fontId="27" fillId="44" borderId="29" xfId="18" applyNumberFormat="1" applyFont="1" applyFill="1" applyBorder="1" applyAlignment="1" applyProtection="1">
      <alignment vertical="top"/>
      <protection locked="0"/>
    </xf>
    <xf numFmtId="164" fontId="101" fillId="44" borderId="66" xfId="18" applyNumberFormat="1" applyFont="1" applyFill="1" applyBorder="1" applyAlignment="1" applyProtection="1">
      <alignment vertical="top"/>
      <protection locked="0"/>
    </xf>
    <xf numFmtId="0" fontId="1" fillId="26" borderId="87" xfId="21" applyFont="1" applyFill="1" applyBorder="1"/>
    <xf numFmtId="10" fontId="3" fillId="28" borderId="101" xfId="21" applyNumberFormat="1" applyFill="1" applyBorder="1" applyAlignment="1" applyProtection="1">
      <alignment vertical="top"/>
      <protection locked="0"/>
    </xf>
    <xf numFmtId="10" fontId="3" fillId="28" borderId="102" xfId="21" applyNumberFormat="1" applyFill="1" applyBorder="1" applyAlignment="1" applyProtection="1">
      <alignment vertical="top"/>
      <protection locked="0"/>
    </xf>
    <xf numFmtId="10" fontId="3" fillId="28" borderId="103" xfId="21" applyNumberFormat="1" applyFill="1" applyBorder="1" applyAlignment="1" applyProtection="1">
      <alignment vertical="top"/>
      <protection locked="0"/>
    </xf>
    <xf numFmtId="165" fontId="2" fillId="25" borderId="101" xfId="22" applyNumberFormat="1" applyFont="1" applyFill="1" applyBorder="1" applyAlignment="1" applyProtection="1">
      <alignment vertical="top"/>
    </xf>
    <xf numFmtId="165" fontId="2" fillId="25" borderId="25" xfId="22" applyNumberFormat="1" applyFont="1" applyFill="1" applyBorder="1" applyAlignment="1" applyProtection="1">
      <alignment vertical="top"/>
    </xf>
    <xf numFmtId="165" fontId="2" fillId="25" borderId="29" xfId="22" applyNumberFormat="1" applyFont="1" applyFill="1" applyBorder="1" applyAlignment="1" applyProtection="1">
      <alignment vertical="top"/>
    </xf>
    <xf numFmtId="10" fontId="140" fillId="0" borderId="29" xfId="21" applyNumberFormat="1" applyFont="1" applyBorder="1" applyAlignment="1">
      <alignment vertical="top"/>
    </xf>
    <xf numFmtId="164" fontId="154" fillId="46" borderId="29" xfId="21" applyNumberFormat="1" applyFont="1" applyFill="1" applyBorder="1" applyAlignment="1">
      <alignment vertical="top"/>
    </xf>
    <xf numFmtId="164" fontId="9" fillId="25" borderId="29" xfId="18" applyNumberFormat="1" applyFont="1" applyFill="1" applyBorder="1" applyAlignment="1" applyProtection="1">
      <alignment horizontal="right" vertical="center"/>
    </xf>
    <xf numFmtId="0" fontId="168" fillId="26" borderId="0" xfId="18" applyFont="1" applyFill="1" applyAlignment="1">
      <alignment vertical="top"/>
    </xf>
    <xf numFmtId="0" fontId="5" fillId="26" borderId="113" xfId="18" applyFill="1" applyBorder="1" applyAlignment="1">
      <alignment vertical="top"/>
    </xf>
    <xf numFmtId="0" fontId="5" fillId="26" borderId="52" xfId="18" applyFill="1" applyBorder="1" applyAlignment="1">
      <alignment vertical="top"/>
    </xf>
    <xf numFmtId="0" fontId="5" fillId="25" borderId="53" xfId="18" applyFill="1" applyBorder="1" applyAlignment="1">
      <alignment vertical="top"/>
    </xf>
    <xf numFmtId="0" fontId="7" fillId="25" borderId="54" xfId="18" applyFont="1" applyFill="1" applyBorder="1" applyAlignment="1">
      <alignment vertical="top"/>
    </xf>
    <xf numFmtId="0" fontId="168" fillId="0" borderId="114" xfId="18" applyFont="1" applyFill="1" applyBorder="1" applyAlignment="1">
      <alignment vertical="top"/>
    </xf>
    <xf numFmtId="0" fontId="168" fillId="0" borderId="66" xfId="18" applyFont="1" applyFill="1" applyBorder="1" applyAlignment="1">
      <alignment vertical="top"/>
    </xf>
    <xf numFmtId="0" fontId="168" fillId="0" borderId="67" xfId="18" applyFont="1" applyFill="1" applyBorder="1" applyAlignment="1">
      <alignment vertical="top"/>
    </xf>
    <xf numFmtId="164" fontId="9" fillId="22" borderId="29" xfId="18" applyNumberFormat="1" applyFont="1" applyFill="1" applyBorder="1" applyAlignment="1" applyProtection="1">
      <alignment horizontal="left" vertical="center"/>
      <protection locked="0"/>
    </xf>
    <xf numFmtId="164" fontId="9" fillId="13" borderId="29" xfId="18" applyNumberFormat="1" applyFont="1" applyFill="1" applyBorder="1" applyAlignment="1">
      <alignment horizontal="left" vertical="center"/>
    </xf>
    <xf numFmtId="0" fontId="5" fillId="26" borderId="35" xfId="18" applyFill="1" applyBorder="1" applyAlignment="1">
      <alignment vertical="top"/>
    </xf>
    <xf numFmtId="0" fontId="5" fillId="26" borderId="40" xfId="18" applyFill="1" applyBorder="1" applyAlignment="1">
      <alignment vertical="top"/>
    </xf>
    <xf numFmtId="0" fontId="5" fillId="26" borderId="66" xfId="18" applyFill="1" applyBorder="1" applyAlignment="1">
      <alignment vertical="top"/>
    </xf>
    <xf numFmtId="0" fontId="5" fillId="26" borderId="67" xfId="18" applyFill="1" applyBorder="1" applyAlignment="1">
      <alignment vertical="top"/>
    </xf>
    <xf numFmtId="0" fontId="168" fillId="0" borderId="115" xfId="18" applyFont="1" applyFill="1" applyBorder="1" applyAlignment="1">
      <alignment vertical="top"/>
    </xf>
    <xf numFmtId="0" fontId="5" fillId="26" borderId="36" xfId="18" applyFill="1" applyBorder="1" applyAlignment="1">
      <alignment vertical="top"/>
    </xf>
    <xf numFmtId="0" fontId="5" fillId="26" borderId="114" xfId="18" applyFill="1" applyBorder="1" applyAlignment="1">
      <alignment vertical="top"/>
    </xf>
    <xf numFmtId="164" fontId="7" fillId="25" borderId="29" xfId="18" applyNumberFormat="1" applyFont="1" applyFill="1" applyBorder="1" applyAlignment="1">
      <alignment vertical="center"/>
    </xf>
    <xf numFmtId="164" fontId="7" fillId="27" borderId="29" xfId="18" applyNumberFormat="1" applyFont="1" applyFill="1" applyBorder="1" applyAlignment="1">
      <alignment vertical="center"/>
    </xf>
    <xf numFmtId="0" fontId="5" fillId="0" borderId="0" xfId="18" applyFont="1" applyAlignment="1">
      <alignment vertical="top" wrapText="1"/>
    </xf>
    <xf numFmtId="0" fontId="14" fillId="27" borderId="0" xfId="21" applyFont="1" applyFill="1" applyBorder="1" applyAlignment="1">
      <alignment horizontal="left" vertical="top" wrapText="1"/>
    </xf>
    <xf numFmtId="0" fontId="14" fillId="27" borderId="78" xfId="21" applyFont="1" applyFill="1" applyBorder="1" applyAlignment="1">
      <alignment vertical="top" wrapText="1"/>
    </xf>
    <xf numFmtId="0" fontId="14" fillId="13" borderId="0" xfId="0" applyFont="1" applyFill="1" applyBorder="1" applyAlignment="1">
      <alignment vertical="top" wrapText="1"/>
    </xf>
    <xf numFmtId="0" fontId="35" fillId="26" borderId="0" xfId="0" applyFont="1" applyFill="1" applyBorder="1"/>
    <xf numFmtId="0" fontId="5" fillId="26" borderId="0" xfId="18" applyFill="1" applyBorder="1" applyAlignment="1">
      <alignment vertical="top"/>
    </xf>
    <xf numFmtId="0" fontId="5" fillId="26" borderId="38" xfId="18" applyFill="1" applyBorder="1" applyAlignment="1">
      <alignment vertical="top"/>
    </xf>
    <xf numFmtId="0" fontId="5" fillId="26" borderId="39" xfId="18" applyFill="1" applyBorder="1" applyAlignment="1">
      <alignment vertical="top"/>
    </xf>
    <xf numFmtId="0" fontId="5" fillId="26" borderId="122" xfId="18" applyFill="1" applyBorder="1" applyAlignment="1">
      <alignment vertical="top"/>
    </xf>
    <xf numFmtId="0" fontId="141" fillId="26" borderId="101" xfId="21" applyFont="1" applyFill="1" applyBorder="1" applyAlignment="1">
      <alignment vertical="top"/>
    </xf>
    <xf numFmtId="0" fontId="140" fillId="26" borderId="0" xfId="21" applyFont="1" applyFill="1" applyBorder="1" applyAlignment="1">
      <alignment vertical="top" wrapText="1"/>
    </xf>
    <xf numFmtId="0" fontId="2" fillId="26" borderId="0" xfId="22" applyNumberFormat="1" applyFont="1" applyFill="1" applyBorder="1" applyAlignment="1" applyProtection="1">
      <alignment horizontal="right" vertical="top"/>
    </xf>
    <xf numFmtId="0" fontId="140" fillId="26" borderId="0" xfId="21" applyFont="1" applyFill="1" applyBorder="1" applyAlignment="1">
      <alignment vertical="top"/>
    </xf>
    <xf numFmtId="0" fontId="87" fillId="27" borderId="0" xfId="21" applyFont="1" applyFill="1" applyAlignment="1">
      <alignment vertical="top"/>
    </xf>
    <xf numFmtId="0" fontId="138" fillId="27" borderId="0" xfId="21" applyFont="1" applyFill="1" applyAlignment="1">
      <alignment vertical="top" wrapText="1"/>
    </xf>
    <xf numFmtId="0" fontId="14" fillId="13" borderId="0" xfId="21" quotePrefix="1" applyFont="1" applyFill="1" applyAlignment="1">
      <alignment horizontal="right" vertical="top" wrapText="1"/>
    </xf>
    <xf numFmtId="164" fontId="5" fillId="38" borderId="21" xfId="18" applyNumberFormat="1" applyFill="1" applyBorder="1" applyAlignment="1" applyProtection="1">
      <alignment horizontal="left" vertical="top" wrapText="1"/>
    </xf>
    <xf numFmtId="164" fontId="5" fillId="38" borderId="27" xfId="18" applyNumberFormat="1" applyFill="1" applyBorder="1" applyAlignment="1" applyProtection="1">
      <alignment horizontal="left" vertical="top" wrapText="1"/>
    </xf>
    <xf numFmtId="0" fontId="0" fillId="0" borderId="0" xfId="0" applyAlignment="1">
      <alignment horizontal="left" vertical="top" wrapText="1"/>
    </xf>
    <xf numFmtId="0" fontId="0" fillId="0" borderId="30" xfId="0" applyBorder="1" applyAlignment="1">
      <alignment horizontal="left" vertical="top" wrapText="1"/>
    </xf>
    <xf numFmtId="0" fontId="48" fillId="0" borderId="81" xfId="18" applyFont="1" applyBorder="1" applyAlignment="1">
      <alignment horizontal="left" vertical="top" wrapText="1"/>
    </xf>
    <xf numFmtId="0" fontId="5" fillId="0" borderId="0" xfId="18" applyAlignment="1">
      <alignment vertical="top" wrapText="1"/>
    </xf>
    <xf numFmtId="0" fontId="169" fillId="0" borderId="0" xfId="0" applyFont="1" applyAlignment="1">
      <alignment vertical="top"/>
    </xf>
    <xf numFmtId="0" fontId="169" fillId="0" borderId="0" xfId="14" applyFont="1" applyAlignment="1" applyProtection="1">
      <alignment vertical="top" wrapText="1"/>
    </xf>
    <xf numFmtId="0" fontId="169" fillId="13" borderId="0" xfId="0" applyFont="1" applyFill="1" applyAlignment="1">
      <alignment vertical="top"/>
    </xf>
    <xf numFmtId="0" fontId="170" fillId="0" borderId="0" xfId="0" applyFont="1" applyAlignment="1">
      <alignment vertical="top"/>
    </xf>
    <xf numFmtId="0" fontId="167" fillId="0" borderId="0" xfId="0" applyFont="1"/>
    <xf numFmtId="0" fontId="169" fillId="26" borderId="0" xfId="18" applyFont="1" applyFill="1" applyAlignment="1">
      <alignment vertical="top"/>
    </xf>
    <xf numFmtId="0" fontId="169" fillId="0" borderId="0" xfId="18" applyFont="1" applyAlignment="1">
      <alignment vertical="top"/>
    </xf>
    <xf numFmtId="0" fontId="169" fillId="0" borderId="0" xfId="18" applyFont="1" applyAlignment="1">
      <alignment vertical="top" wrapText="1"/>
    </xf>
    <xf numFmtId="0" fontId="169" fillId="0" borderId="0" xfId="18" applyFont="1" applyAlignment="1">
      <alignment vertical="center"/>
    </xf>
    <xf numFmtId="0" fontId="0" fillId="0" borderId="0" xfId="0" applyAlignment="1">
      <alignment horizontal="left" vertical="top" wrapText="1"/>
    </xf>
    <xf numFmtId="0" fontId="7" fillId="0" borderId="0" xfId="0" applyFont="1" applyAlignment="1">
      <alignment horizontal="left" vertical="top" wrapText="1"/>
    </xf>
    <xf numFmtId="0" fontId="8" fillId="0" borderId="0" xfId="18" applyFont="1" applyAlignment="1">
      <alignment horizontal="left" vertical="top" wrapText="1"/>
    </xf>
    <xf numFmtId="0" fontId="5" fillId="0" borderId="0" xfId="18" applyAlignment="1">
      <alignment vertical="top" wrapText="1"/>
    </xf>
    <xf numFmtId="0" fontId="0" fillId="0" borderId="0" xfId="0" applyAlignment="1">
      <alignment horizontal="left" vertical="center" wrapText="1"/>
    </xf>
    <xf numFmtId="0" fontId="59" fillId="13" borderId="0" xfId="0" applyFont="1" applyFill="1" applyAlignment="1">
      <alignment vertical="top" wrapText="1"/>
    </xf>
    <xf numFmtId="0" fontId="0" fillId="0" borderId="0" xfId="0" applyBorder="1" applyAlignment="1">
      <alignment horizontal="left" vertical="top" wrapText="1"/>
    </xf>
    <xf numFmtId="0" fontId="143" fillId="0" borderId="0" xfId="18" applyFont="1" applyAlignment="1">
      <alignment vertical="top" wrapText="1"/>
    </xf>
    <xf numFmtId="0" fontId="171" fillId="27" borderId="0" xfId="21" applyFont="1" applyFill="1" applyAlignment="1">
      <alignment vertical="top"/>
    </xf>
    <xf numFmtId="164" fontId="5" fillId="25" borderId="29" xfId="18" quotePrefix="1" applyNumberFormat="1" applyFill="1" applyBorder="1" applyAlignment="1" applyProtection="1">
      <alignment vertical="top"/>
    </xf>
    <xf numFmtId="0" fontId="48" fillId="0" borderId="0" xfId="18" applyFont="1" applyBorder="1" applyAlignment="1">
      <alignment horizontal="left" vertical="top" wrapText="1"/>
    </xf>
    <xf numFmtId="9" fontId="59" fillId="13" borderId="0" xfId="22" applyFont="1" applyFill="1" applyBorder="1" applyAlignment="1">
      <alignment horizontal="center" vertical="top" wrapText="1"/>
    </xf>
    <xf numFmtId="0" fontId="10" fillId="0" borderId="0" xfId="18" applyFont="1" applyBorder="1" applyAlignment="1">
      <alignment horizontal="center" vertical="top" wrapText="1"/>
    </xf>
    <xf numFmtId="0" fontId="87" fillId="0" borderId="0" xfId="0" applyFont="1" applyBorder="1" applyAlignment="1">
      <alignment horizontal="left" vertical="top" wrapText="1"/>
    </xf>
    <xf numFmtId="0" fontId="166" fillId="13" borderId="0" xfId="14" applyFont="1" applyFill="1" applyBorder="1" applyAlignment="1" applyProtection="1">
      <alignment vertical="top" wrapText="1"/>
    </xf>
    <xf numFmtId="0" fontId="9" fillId="0" borderId="0" xfId="18" applyFont="1" applyBorder="1" applyAlignment="1">
      <alignment horizontal="center" vertical="top" wrapText="1"/>
    </xf>
    <xf numFmtId="165" fontId="5" fillId="27" borderId="0" xfId="18" applyNumberFormat="1" applyFill="1" applyBorder="1" applyAlignment="1">
      <alignment vertical="top"/>
    </xf>
    <xf numFmtId="165" fontId="9" fillId="25" borderId="0" xfId="18" applyNumberFormat="1" applyFont="1" applyFill="1" applyBorder="1" applyAlignment="1">
      <alignment horizontal="right" vertical="top"/>
    </xf>
    <xf numFmtId="165" fontId="9" fillId="27" borderId="0" xfId="18" applyNumberFormat="1" applyFont="1" applyFill="1" applyBorder="1" applyAlignment="1">
      <alignment horizontal="center" vertical="top"/>
    </xf>
    <xf numFmtId="0" fontId="5" fillId="0" borderId="0" xfId="18" applyBorder="1" applyAlignment="1">
      <alignment vertical="center"/>
    </xf>
    <xf numFmtId="0" fontId="5" fillId="0" borderId="0" xfId="18" applyBorder="1" applyAlignment="1">
      <alignment vertical="top"/>
    </xf>
    <xf numFmtId="164" fontId="5" fillId="17" borderId="0" xfId="18" applyNumberFormat="1" applyFill="1" applyBorder="1" applyAlignment="1">
      <alignment vertical="center"/>
    </xf>
    <xf numFmtId="0" fontId="10" fillId="13" borderId="0" xfId="18" applyFont="1" applyFill="1" applyBorder="1" applyAlignment="1">
      <alignment vertical="top" wrapText="1"/>
    </xf>
    <xf numFmtId="3" fontId="9" fillId="28" borderId="0" xfId="18" applyNumberFormat="1" applyFont="1" applyFill="1" applyBorder="1" applyAlignment="1" applyProtection="1">
      <alignment vertical="top" wrapText="1"/>
      <protection locked="0"/>
    </xf>
    <xf numFmtId="0" fontId="9" fillId="27" borderId="0" xfId="18" applyFont="1" applyFill="1" applyBorder="1" applyAlignment="1">
      <alignment vertical="top" wrapText="1"/>
    </xf>
    <xf numFmtId="0" fontId="172" fillId="0" borderId="29" xfId="18" applyFont="1" applyBorder="1" applyAlignment="1">
      <alignment horizontal="center" vertical="top" wrapText="1"/>
    </xf>
    <xf numFmtId="165" fontId="58" fillId="25" borderId="29" xfId="18" applyNumberFormat="1" applyFont="1" applyFill="1" applyBorder="1" applyAlignment="1">
      <alignment horizontal="right" vertical="top"/>
    </xf>
    <xf numFmtId="2" fontId="9" fillId="22" borderId="29" xfId="18" applyNumberFormat="1" applyFont="1" applyFill="1" applyBorder="1" applyAlignment="1" applyProtection="1">
      <alignment vertical="top" wrapText="1"/>
      <protection locked="0"/>
    </xf>
    <xf numFmtId="2" fontId="9" fillId="25" borderId="29" xfId="18" applyNumberFormat="1" applyFont="1" applyFill="1" applyBorder="1" applyAlignment="1">
      <alignment horizontal="center" vertical="top" wrapText="1"/>
    </xf>
    <xf numFmtId="2" fontId="9" fillId="22" borderId="55" xfId="18" applyNumberFormat="1" applyFont="1" applyFill="1" applyBorder="1" applyAlignment="1" applyProtection="1">
      <alignment vertical="top" wrapText="1"/>
      <protection locked="0"/>
    </xf>
    <xf numFmtId="2" fontId="9" fillId="25" borderId="55" xfId="18" applyNumberFormat="1" applyFont="1" applyFill="1" applyBorder="1" applyAlignment="1">
      <alignment horizontal="center" vertical="top" wrapText="1"/>
    </xf>
    <xf numFmtId="2" fontId="9" fillId="28" borderId="26" xfId="18" applyNumberFormat="1" applyFont="1" applyFill="1" applyBorder="1" applyAlignment="1" applyProtection="1">
      <alignment horizontal="center" vertical="top" wrapText="1"/>
      <protection locked="0"/>
    </xf>
    <xf numFmtId="2" fontId="9" fillId="28" borderId="29" xfId="18" applyNumberFormat="1" applyFont="1" applyFill="1" applyBorder="1" applyAlignment="1" applyProtection="1">
      <alignment horizontal="center" vertical="top" wrapText="1"/>
      <protection locked="0"/>
    </xf>
    <xf numFmtId="0" fontId="173" fillId="0" borderId="0" xfId="18" applyFont="1" applyAlignment="1">
      <alignment vertical="top"/>
    </xf>
    <xf numFmtId="0" fontId="169" fillId="27" borderId="0" xfId="21" applyFont="1" applyFill="1" applyAlignment="1">
      <alignment vertical="top"/>
    </xf>
    <xf numFmtId="0" fontId="171" fillId="27" borderId="0" xfId="21" applyFont="1" applyFill="1" applyAlignment="1">
      <alignment vertical="top" wrapText="1"/>
    </xf>
    <xf numFmtId="0" fontId="174" fillId="27" borderId="0" xfId="21" applyFont="1" applyFill="1" applyAlignment="1">
      <alignment vertical="top"/>
    </xf>
    <xf numFmtId="0" fontId="175" fillId="0" borderId="0" xfId="18" applyFont="1" applyAlignment="1">
      <alignment horizontal="center" vertical="top" wrapText="1"/>
    </xf>
    <xf numFmtId="0" fontId="175" fillId="0" borderId="0" xfId="18" applyFont="1" applyAlignment="1">
      <alignment vertical="top"/>
    </xf>
    <xf numFmtId="0" fontId="89" fillId="0" borderId="0" xfId="18" applyFont="1"/>
    <xf numFmtId="0" fontId="169" fillId="0" borderId="0" xfId="18" applyFont="1"/>
    <xf numFmtId="0" fontId="169" fillId="27" borderId="0" xfId="0" applyFont="1" applyFill="1" applyAlignment="1">
      <alignment vertical="top"/>
    </xf>
    <xf numFmtId="0" fontId="11" fillId="0" borderId="0" xfId="14" applyAlignment="1" applyProtection="1">
      <alignment horizontal="left" vertical="top" wrapText="1"/>
    </xf>
    <xf numFmtId="0" fontId="0" fillId="0" borderId="0" xfId="0" applyAlignment="1">
      <alignment horizontal="left" vertical="top" wrapText="1"/>
    </xf>
    <xf numFmtId="0" fontId="164" fillId="0" borderId="0" xfId="14" applyFont="1" applyAlignment="1" applyProtection="1">
      <alignment horizontal="left" vertical="top" wrapText="1"/>
    </xf>
    <xf numFmtId="0" fontId="11" fillId="0" borderId="0" xfId="14" applyFill="1" applyAlignment="1" applyProtection="1">
      <alignment horizontal="left" vertical="top" wrapText="1"/>
    </xf>
    <xf numFmtId="0" fontId="7" fillId="13" borderId="0" xfId="0" applyFont="1" applyFill="1" applyAlignment="1">
      <alignment vertical="top" wrapText="1"/>
    </xf>
    <xf numFmtId="0" fontId="0" fillId="0" borderId="0" xfId="0" applyAlignment="1">
      <alignment vertical="top" wrapText="1"/>
    </xf>
    <xf numFmtId="0" fontId="0" fillId="0" borderId="50" xfId="0" applyBorder="1" applyAlignment="1">
      <alignment vertical="top" wrapText="1"/>
    </xf>
    <xf numFmtId="3" fontId="13" fillId="17" borderId="13" xfId="0" applyNumberFormat="1" applyFont="1" applyFill="1" applyBorder="1" applyAlignment="1">
      <alignment horizontal="right" vertical="center"/>
    </xf>
    <xf numFmtId="3" fontId="13" fillId="17" borderId="14" xfId="0" applyNumberFormat="1" applyFont="1" applyFill="1" applyBorder="1" applyAlignment="1">
      <alignment horizontal="right" vertical="center"/>
    </xf>
    <xf numFmtId="0" fontId="14" fillId="13" borderId="0" xfId="0" applyFont="1" applyFill="1" applyAlignment="1">
      <alignment vertical="top" wrapText="1"/>
    </xf>
    <xf numFmtId="3" fontId="60" fillId="17" borderId="7" xfId="0" applyNumberFormat="1" applyFont="1" applyFill="1" applyBorder="1" applyAlignment="1">
      <alignment horizontal="right" vertical="top"/>
    </xf>
    <xf numFmtId="3" fontId="60" fillId="17" borderId="32" xfId="0" applyNumberFormat="1" applyFont="1" applyFill="1" applyBorder="1" applyAlignment="1">
      <alignment horizontal="right" vertical="top"/>
    </xf>
    <xf numFmtId="0" fontId="5" fillId="13" borderId="0" xfId="0" applyFont="1" applyFill="1" applyAlignment="1">
      <alignment vertical="top" wrapText="1"/>
    </xf>
    <xf numFmtId="0" fontId="7" fillId="0" borderId="0" xfId="0" applyFont="1" applyAlignment="1">
      <alignment vertical="top" wrapText="1"/>
    </xf>
    <xf numFmtId="0" fontId="0" fillId="13" borderId="0" xfId="0" applyFill="1" applyAlignment="1">
      <alignmen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3" fontId="60" fillId="25" borderId="7" xfId="0" applyNumberFormat="1" applyFont="1" applyFill="1" applyBorder="1" applyAlignment="1">
      <alignment horizontal="right" vertical="top"/>
    </xf>
    <xf numFmtId="3" fontId="60" fillId="25" borderId="32" xfId="0" applyNumberFormat="1" applyFont="1" applyFill="1" applyBorder="1" applyAlignment="1">
      <alignment horizontal="right" vertical="top"/>
    </xf>
    <xf numFmtId="0" fontId="5" fillId="0" borderId="0" xfId="0" applyFont="1" applyAlignment="1">
      <alignment vertical="top" wrapText="1"/>
    </xf>
    <xf numFmtId="0" fontId="0" fillId="0" borderId="25" xfId="0" applyBorder="1" applyAlignment="1">
      <alignmen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29" xfId="0" applyBorder="1" applyAlignment="1">
      <alignment horizontal="left" vertical="top" wrapText="1"/>
    </xf>
    <xf numFmtId="0" fontId="0" fillId="0" borderId="54" xfId="0" applyBorder="1" applyAlignment="1">
      <alignment horizontal="left" vertical="top" wrapText="1"/>
    </xf>
    <xf numFmtId="0" fontId="0" fillId="0" borderId="43" xfId="0" applyBorder="1" applyAlignment="1">
      <alignment horizontal="center" vertical="top" wrapText="1"/>
    </xf>
    <xf numFmtId="0" fontId="0" fillId="0" borderId="0" xfId="0" applyAlignment="1">
      <alignment horizontal="center" vertical="top" wrapText="1"/>
    </xf>
    <xf numFmtId="0" fontId="0" fillId="0" borderId="43" xfId="0" applyBorder="1" applyAlignment="1">
      <alignment horizontal="center" vertical="top"/>
    </xf>
    <xf numFmtId="14" fontId="0" fillId="0" borderId="29" xfId="0" applyNumberFormat="1" applyBorder="1" applyAlignment="1">
      <alignment horizontal="left" vertical="top" wrapText="1"/>
    </xf>
    <xf numFmtId="0" fontId="29" fillId="0" borderId="0" xfId="0" applyFont="1" applyAlignment="1">
      <alignment vertical="top" wrapText="1"/>
    </xf>
    <xf numFmtId="0" fontId="13" fillId="13" borderId="0" xfId="0" applyFont="1" applyFill="1" applyAlignment="1">
      <alignment vertical="top" wrapText="1"/>
    </xf>
    <xf numFmtId="0" fontId="5" fillId="13" borderId="0" xfId="14" applyFont="1" applyFill="1" applyAlignment="1" applyProtection="1">
      <alignment horizontal="left" vertical="top" wrapText="1"/>
    </xf>
    <xf numFmtId="0" fontId="5" fillId="0" borderId="0" xfId="0" applyFont="1" applyAlignment="1">
      <alignment horizontal="left" vertical="top" wrapText="1"/>
    </xf>
    <xf numFmtId="0" fontId="5" fillId="23" borderId="13" xfId="0" applyFont="1" applyFill="1" applyBorder="1" applyAlignment="1">
      <alignment horizontal="left" vertical="center" wrapText="1" indent="1"/>
    </xf>
    <xf numFmtId="0" fontId="5" fillId="23" borderId="14" xfId="0" applyFont="1" applyFill="1" applyBorder="1" applyAlignment="1">
      <alignment horizontal="left" vertical="center" wrapText="1" indent="1"/>
    </xf>
    <xf numFmtId="0" fontId="5" fillId="13" borderId="15" xfId="0" applyFont="1" applyFill="1" applyBorder="1" applyAlignment="1">
      <alignment horizontal="left" vertical="center" wrapText="1" indent="1"/>
    </xf>
    <xf numFmtId="0" fontId="55" fillId="13" borderId="0" xfId="0" applyFont="1" applyFill="1" applyAlignment="1">
      <alignment horizontal="left" vertical="top" wrapText="1"/>
    </xf>
    <xf numFmtId="0" fontId="5" fillId="13" borderId="0" xfId="0" applyFont="1" applyFill="1" applyAlignment="1">
      <alignment horizontal="left" vertical="top" wrapText="1"/>
    </xf>
    <xf numFmtId="0" fontId="33" fillId="13" borderId="0" xfId="14" applyFont="1" applyFill="1" applyAlignment="1" applyProtection="1">
      <alignment horizontal="left" vertical="top" wrapText="1"/>
    </xf>
    <xf numFmtId="0" fontId="11" fillId="13" borderId="0" xfId="14" applyFill="1" applyAlignment="1" applyProtection="1">
      <alignment horizontal="left" vertical="top" wrapText="1"/>
    </xf>
    <xf numFmtId="0" fontId="7" fillId="13" borderId="0" xfId="0" applyFont="1" applyFill="1" applyAlignment="1">
      <alignment horizontal="left" vertical="top" wrapText="1"/>
    </xf>
    <xf numFmtId="0" fontId="7" fillId="0" borderId="0" xfId="0" applyFont="1" applyAlignment="1">
      <alignment horizontal="left" vertical="top" wrapText="1"/>
    </xf>
    <xf numFmtId="0" fontId="5" fillId="13" borderId="0" xfId="0" applyFont="1" applyFill="1" applyAlignment="1">
      <alignment horizontal="left" vertical="top"/>
    </xf>
    <xf numFmtId="0" fontId="0" fillId="24" borderId="29" xfId="0" applyFill="1" applyBorder="1" applyAlignment="1">
      <alignment vertical="top" wrapText="1"/>
    </xf>
    <xf numFmtId="0" fontId="5" fillId="13" borderId="29" xfId="0" applyFont="1" applyFill="1" applyBorder="1" applyAlignment="1">
      <alignment vertical="top" wrapText="1"/>
    </xf>
    <xf numFmtId="0" fontId="5" fillId="13" borderId="0" xfId="0" applyFont="1" applyFill="1" applyAlignment="1">
      <alignment horizontal="justify" vertical="top" wrapText="1"/>
    </xf>
    <xf numFmtId="0" fontId="50" fillId="13" borderId="30" xfId="0" applyFont="1" applyFill="1" applyBorder="1" applyAlignment="1">
      <alignment vertical="top" wrapText="1"/>
    </xf>
    <xf numFmtId="0" fontId="35" fillId="13" borderId="0" xfId="0" applyFont="1" applyFill="1" applyAlignment="1">
      <alignment horizontal="left" vertical="top" wrapText="1" indent="2"/>
    </xf>
    <xf numFmtId="0" fontId="56" fillId="13" borderId="0" xfId="0" applyFont="1" applyFill="1" applyAlignment="1">
      <alignment horizontal="left" vertical="top" wrapText="1"/>
    </xf>
    <xf numFmtId="0" fontId="62" fillId="13" borderId="0" xfId="0" applyFont="1" applyFill="1" applyAlignment="1">
      <alignment vertical="top" wrapText="1"/>
    </xf>
    <xf numFmtId="0" fontId="74" fillId="13" borderId="0" xfId="0" applyFont="1" applyFill="1" applyAlignment="1">
      <alignment horizontal="left" vertical="top" wrapText="1"/>
    </xf>
    <xf numFmtId="0" fontId="52" fillId="15" borderId="0" xfId="0" applyFont="1" applyFill="1" applyAlignment="1">
      <alignment horizontal="left" vertical="center" wrapText="1"/>
    </xf>
    <xf numFmtId="0" fontId="53" fillId="15" borderId="0" xfId="0" applyFont="1" applyFill="1" applyAlignment="1">
      <alignment horizontal="left" vertical="center" wrapText="1"/>
    </xf>
    <xf numFmtId="0" fontId="0" fillId="0" borderId="0" xfId="0" applyAlignment="1">
      <alignment vertical="center" wrapText="1"/>
    </xf>
    <xf numFmtId="0" fontId="143" fillId="13" borderId="0" xfId="0" applyFont="1" applyFill="1" applyAlignment="1">
      <alignment horizontal="left" vertical="top" wrapText="1"/>
    </xf>
    <xf numFmtId="0" fontId="143" fillId="0" borderId="0" xfId="0" applyFont="1" applyAlignment="1">
      <alignment horizontal="left" vertical="top" wrapText="1"/>
    </xf>
    <xf numFmtId="0" fontId="7" fillId="13" borderId="0" xfId="14" applyFont="1" applyFill="1" applyAlignment="1" applyProtection="1">
      <alignment horizontal="left" vertical="top" wrapText="1"/>
    </xf>
    <xf numFmtId="0" fontId="5" fillId="27" borderId="0" xfId="0" applyFont="1" applyFill="1" applyAlignment="1">
      <alignment horizontal="left" vertical="top" wrapText="1"/>
    </xf>
    <xf numFmtId="0" fontId="0" fillId="27" borderId="0" xfId="0" applyFill="1" applyAlignment="1">
      <alignment horizontal="left" vertical="top" wrapText="1"/>
    </xf>
    <xf numFmtId="0" fontId="5" fillId="13" borderId="0" xfId="14" applyFont="1" applyFill="1" applyAlignment="1" applyProtection="1">
      <alignment vertical="top" wrapText="1"/>
    </xf>
    <xf numFmtId="0" fontId="61" fillId="13" borderId="0" xfId="0" applyFont="1" applyFill="1" applyAlignment="1">
      <alignment horizontal="left" vertical="top" wrapText="1"/>
    </xf>
    <xf numFmtId="0" fontId="37" fillId="13" borderId="0" xfId="0" applyFont="1" applyFill="1" applyAlignment="1">
      <alignment horizontal="left" vertical="top" wrapText="1"/>
    </xf>
    <xf numFmtId="0" fontId="39" fillId="13" borderId="0" xfId="0" applyFont="1" applyFill="1" applyAlignment="1">
      <alignment vertical="top" wrapText="1"/>
    </xf>
    <xf numFmtId="0" fontId="71" fillId="13" borderId="0" xfId="0" applyFont="1" applyFill="1" applyAlignment="1">
      <alignment horizontal="justify" vertical="top" wrapText="1"/>
    </xf>
    <xf numFmtId="164" fontId="0" fillId="22" borderId="29" xfId="0" applyNumberFormat="1" applyFill="1" applyBorder="1" applyAlignment="1">
      <alignment vertical="top" wrapText="1"/>
    </xf>
    <xf numFmtId="164" fontId="0" fillId="25" borderId="29" xfId="0" applyNumberFormat="1" applyFill="1" applyBorder="1" applyAlignment="1">
      <alignment vertical="top" wrapText="1"/>
    </xf>
    <xf numFmtId="0" fontId="5" fillId="25" borderId="29" xfId="0" applyFont="1" applyFill="1" applyBorder="1" applyAlignment="1">
      <alignment vertical="top" wrapText="1"/>
    </xf>
    <xf numFmtId="0" fontId="7" fillId="23" borderId="13" xfId="0" applyFont="1" applyFill="1" applyBorder="1" applyAlignment="1">
      <alignment horizontal="left" vertical="center" wrapText="1" indent="1"/>
    </xf>
    <xf numFmtId="0" fontId="7" fillId="23" borderId="14" xfId="0" applyFont="1" applyFill="1" applyBorder="1" applyAlignment="1">
      <alignment horizontal="left" vertical="center" wrapText="1" indent="1"/>
    </xf>
    <xf numFmtId="0" fontId="147" fillId="13" borderId="0" xfId="0" applyFont="1" applyFill="1" applyAlignment="1">
      <alignment horizontal="left" vertical="top" wrapText="1"/>
    </xf>
    <xf numFmtId="0" fontId="147" fillId="0" borderId="0" xfId="0" applyFont="1" applyAlignment="1">
      <alignment horizontal="left" vertical="top" wrapText="1"/>
    </xf>
    <xf numFmtId="0" fontId="5" fillId="16" borderId="21" xfId="0" applyFont="1" applyFill="1" applyBorder="1" applyAlignment="1">
      <alignment horizontal="center" vertical="top" wrapText="1"/>
    </xf>
    <xf numFmtId="0" fontId="5" fillId="16" borderId="31" xfId="0" applyFont="1" applyFill="1" applyBorder="1" applyAlignment="1">
      <alignment horizontal="center" vertical="top" wrapText="1"/>
    </xf>
    <xf numFmtId="0" fontId="5" fillId="16" borderId="22" xfId="0" applyFont="1" applyFill="1" applyBorder="1" applyAlignment="1">
      <alignment horizontal="center" vertical="top" wrapText="1"/>
    </xf>
    <xf numFmtId="0" fontId="5" fillId="16" borderId="24" xfId="0" applyFont="1" applyFill="1" applyBorder="1" applyAlignment="1">
      <alignment horizontal="center" vertical="top" wrapText="1"/>
    </xf>
    <xf numFmtId="0" fontId="5" fillId="16" borderId="0" xfId="0" applyFont="1" applyFill="1" applyAlignment="1">
      <alignment horizontal="center" vertical="top" wrapText="1"/>
    </xf>
    <xf numFmtId="0" fontId="5" fillId="16" borderId="25" xfId="0" applyFont="1" applyFill="1" applyBorder="1" applyAlignment="1">
      <alignment horizontal="center" vertical="top" wrapText="1"/>
    </xf>
    <xf numFmtId="0" fontId="5" fillId="16" borderId="27" xfId="0" applyFont="1" applyFill="1" applyBorder="1" applyAlignment="1">
      <alignment horizontal="center" vertical="top" wrapText="1"/>
    </xf>
    <xf numFmtId="0" fontId="5" fillId="16" borderId="30" xfId="0" applyFont="1" applyFill="1" applyBorder="1" applyAlignment="1">
      <alignment horizontal="center" vertical="top" wrapText="1"/>
    </xf>
    <xf numFmtId="0" fontId="5" fillId="16" borderId="28" xfId="0" applyFont="1" applyFill="1" applyBorder="1" applyAlignment="1">
      <alignment horizontal="center" vertical="top" wrapText="1"/>
    </xf>
    <xf numFmtId="0" fontId="92" fillId="13" borderId="0" xfId="0" applyFont="1" applyFill="1" applyAlignment="1">
      <alignment horizontal="center" vertical="top" wrapText="1"/>
    </xf>
    <xf numFmtId="0" fontId="92" fillId="0" borderId="0" xfId="0" applyFont="1" applyAlignment="1">
      <alignment horizontal="center" vertical="top" wrapText="1"/>
    </xf>
    <xf numFmtId="0" fontId="158" fillId="13" borderId="0" xfId="0" applyFont="1" applyFill="1" applyAlignment="1">
      <alignment horizontal="left" vertical="top" wrapText="1"/>
    </xf>
    <xf numFmtId="0" fontId="158" fillId="0" borderId="0" xfId="0" applyFont="1" applyAlignment="1">
      <alignment horizontal="left" vertical="top" wrapText="1"/>
    </xf>
    <xf numFmtId="0" fontId="166" fillId="13" borderId="0" xfId="14" applyFont="1" applyFill="1" applyAlignment="1" applyProtection="1">
      <alignment vertical="top" wrapText="1"/>
    </xf>
    <xf numFmtId="0" fontId="8" fillId="13" borderId="0" xfId="18" applyFont="1" applyFill="1" applyAlignment="1">
      <alignment horizontal="left" vertical="top" wrapText="1"/>
    </xf>
    <xf numFmtId="0" fontId="7" fillId="13" borderId="0" xfId="18" applyFont="1" applyFill="1" applyAlignment="1">
      <alignment horizontal="left" vertical="top"/>
    </xf>
    <xf numFmtId="0" fontId="14" fillId="13" borderId="0" xfId="18" applyFont="1" applyFill="1" applyAlignment="1">
      <alignment horizontal="left" vertical="top" wrapText="1"/>
    </xf>
    <xf numFmtId="0" fontId="5" fillId="0" borderId="0" xfId="18" applyAlignment="1">
      <alignment wrapText="1"/>
    </xf>
    <xf numFmtId="0" fontId="9" fillId="22" borderId="7" xfId="0" applyFont="1" applyFill="1" applyBorder="1" applyAlignment="1" applyProtection="1">
      <alignment horizontal="left" vertical="top"/>
      <protection locked="0"/>
    </xf>
    <xf numFmtId="0" fontId="9" fillId="22" borderId="32" xfId="0" applyFont="1" applyFill="1" applyBorder="1" applyAlignment="1" applyProtection="1">
      <alignment horizontal="left" vertical="top"/>
      <protection locked="0"/>
    </xf>
    <xf numFmtId="0" fontId="9" fillId="22" borderId="8" xfId="0" applyFont="1" applyFill="1" applyBorder="1" applyAlignment="1" applyProtection="1">
      <alignment horizontal="left" vertical="top"/>
      <protection locked="0"/>
    </xf>
    <xf numFmtId="0" fontId="14" fillId="13" borderId="0" xfId="18" applyFont="1" applyFill="1" applyAlignment="1">
      <alignment vertical="top" wrapText="1"/>
    </xf>
    <xf numFmtId="0" fontId="8" fillId="27" borderId="0" xfId="0" applyFont="1" applyFill="1" applyAlignment="1">
      <alignment horizontal="left" vertical="top" wrapText="1"/>
    </xf>
    <xf numFmtId="0" fontId="9" fillId="22" borderId="7" xfId="18" applyFont="1" applyFill="1" applyBorder="1" applyAlignment="1" applyProtection="1">
      <alignment horizontal="left" vertical="top"/>
      <protection locked="0"/>
    </xf>
    <xf numFmtId="0" fontId="9" fillId="22" borderId="32" xfId="18" applyFont="1" applyFill="1" applyBorder="1" applyAlignment="1" applyProtection="1">
      <alignment horizontal="left" vertical="top"/>
      <protection locked="0"/>
    </xf>
    <xf numFmtId="0" fontId="9" fillId="22" borderId="8" xfId="18" applyFont="1" applyFill="1" applyBorder="1" applyAlignment="1" applyProtection="1">
      <alignment horizontal="left" vertical="top"/>
      <protection locked="0"/>
    </xf>
    <xf numFmtId="1" fontId="10" fillId="28" borderId="7" xfId="0" applyNumberFormat="1" applyFont="1" applyFill="1" applyBorder="1" applyAlignment="1" applyProtection="1">
      <alignment horizontal="left" vertical="top"/>
      <protection locked="0"/>
    </xf>
    <xf numFmtId="1" fontId="10" fillId="28" borderId="8" xfId="0" applyNumberFormat="1" applyFont="1" applyFill="1" applyBorder="1" applyAlignment="1" applyProtection="1">
      <alignment horizontal="left" vertical="top"/>
      <protection locked="0"/>
    </xf>
    <xf numFmtId="0" fontId="7" fillId="13" borderId="0" xfId="0" applyFont="1" applyFill="1" applyAlignment="1">
      <alignment horizontal="left" vertical="top"/>
    </xf>
    <xf numFmtId="0" fontId="0" fillId="0" borderId="0" xfId="0" applyAlignment="1">
      <alignment horizontal="left" vertical="top"/>
    </xf>
    <xf numFmtId="0" fontId="0" fillId="0" borderId="25" xfId="0" applyBorder="1" applyAlignment="1">
      <alignment horizontal="left" vertical="top"/>
    </xf>
    <xf numFmtId="0" fontId="8" fillId="13" borderId="0" xfId="18" applyFont="1" applyFill="1" applyAlignment="1">
      <alignment vertical="top" wrapText="1"/>
    </xf>
    <xf numFmtId="0" fontId="11" fillId="0" borderId="0" xfId="14" applyFill="1" applyAlignment="1" applyProtection="1">
      <alignment horizontal="left"/>
    </xf>
    <xf numFmtId="0" fontId="5" fillId="0" borderId="0" xfId="18" applyAlignment="1"/>
    <xf numFmtId="0" fontId="7" fillId="13" borderId="0" xfId="18" applyFont="1" applyFill="1" applyAlignment="1">
      <alignment horizontal="left" vertical="top" wrapText="1"/>
    </xf>
    <xf numFmtId="0" fontId="7" fillId="13" borderId="0" xfId="18" applyFont="1" applyFill="1" applyAlignment="1">
      <alignment vertical="top" wrapText="1"/>
    </xf>
    <xf numFmtId="0" fontId="5" fillId="0" borderId="0" xfId="18" applyAlignment="1">
      <alignment horizontal="left" vertical="top" wrapText="1"/>
    </xf>
    <xf numFmtId="0" fontId="5" fillId="0" borderId="25" xfId="18" applyBorder="1" applyAlignment="1">
      <alignment horizontal="left" vertical="top" wrapText="1"/>
    </xf>
    <xf numFmtId="0" fontId="13" fillId="13" borderId="0" xfId="18" applyFont="1" applyFill="1" applyAlignment="1">
      <alignment vertical="top" wrapText="1"/>
    </xf>
    <xf numFmtId="0" fontId="9" fillId="22" borderId="7" xfId="18" applyFont="1" applyFill="1" applyBorder="1" applyAlignment="1" applyProtection="1">
      <alignment horizontal="left" vertical="top" wrapText="1"/>
      <protection locked="0"/>
    </xf>
    <xf numFmtId="0" fontId="9" fillId="22" borderId="32" xfId="18" applyFont="1" applyFill="1" applyBorder="1" applyAlignment="1" applyProtection="1">
      <alignment horizontal="left" vertical="top" wrapText="1"/>
      <protection locked="0"/>
    </xf>
    <xf numFmtId="0" fontId="9" fillId="22" borderId="8" xfId="18" applyFont="1" applyFill="1" applyBorder="1" applyAlignment="1" applyProtection="1">
      <alignment horizontal="left" vertical="top" wrapText="1"/>
      <protection locked="0"/>
    </xf>
    <xf numFmtId="0" fontId="7" fillId="13" borderId="0" xfId="18" applyFont="1" applyFill="1" applyAlignment="1">
      <alignment horizontal="left" vertical="center" wrapText="1"/>
    </xf>
    <xf numFmtId="0" fontId="7" fillId="22" borderId="7" xfId="18" applyFont="1" applyFill="1" applyBorder="1" applyAlignment="1" applyProtection="1">
      <alignment horizontal="left" vertical="center" indent="1"/>
      <protection locked="0"/>
    </xf>
    <xf numFmtId="0" fontId="7" fillId="22" borderId="32" xfId="18" applyFont="1" applyFill="1" applyBorder="1" applyAlignment="1" applyProtection="1">
      <alignment horizontal="left" vertical="center" indent="1"/>
      <protection locked="0"/>
    </xf>
    <xf numFmtId="0" fontId="7" fillId="22" borderId="8" xfId="18" applyFont="1" applyFill="1" applyBorder="1" applyAlignment="1" applyProtection="1">
      <alignment horizontal="left" vertical="center" indent="1"/>
      <protection locked="0"/>
    </xf>
    <xf numFmtId="0" fontId="5" fillId="0" borderId="32" xfId="18" applyBorder="1" applyAlignment="1" applyProtection="1">
      <protection locked="0"/>
    </xf>
    <xf numFmtId="0" fontId="5" fillId="0" borderId="8" xfId="18" applyBorder="1" applyAlignment="1" applyProtection="1">
      <protection locked="0"/>
    </xf>
    <xf numFmtId="0" fontId="59" fillId="13" borderId="0" xfId="18" applyFont="1" applyFill="1" applyAlignment="1">
      <alignment horizontal="left" vertical="top" wrapText="1"/>
    </xf>
    <xf numFmtId="0" fontId="7" fillId="0" borderId="0" xfId="18" applyFont="1" applyAlignment="1">
      <alignment wrapText="1"/>
    </xf>
    <xf numFmtId="0" fontId="7" fillId="13" borderId="0" xfId="18" applyFont="1" applyFill="1" applyAlignment="1">
      <alignment vertical="top"/>
    </xf>
    <xf numFmtId="0" fontId="6" fillId="21" borderId="0" xfId="18" applyFont="1" applyFill="1" applyAlignment="1">
      <alignment horizontal="left" vertical="top" wrapText="1"/>
    </xf>
    <xf numFmtId="0" fontId="8" fillId="0" borderId="0" xfId="18" applyFont="1" applyBorder="1" applyAlignment="1">
      <alignment horizontal="left" vertical="top" wrapText="1"/>
    </xf>
    <xf numFmtId="0" fontId="0" fillId="0" borderId="0" xfId="0" applyBorder="1" applyAlignment="1">
      <alignment horizontal="left" vertical="top" wrapText="1"/>
    </xf>
    <xf numFmtId="0" fontId="14" fillId="13" borderId="75" xfId="18" applyFont="1" applyFill="1" applyBorder="1" applyAlignment="1">
      <alignment horizontal="left" vertical="top" wrapText="1"/>
    </xf>
    <xf numFmtId="0" fontId="43" fillId="13" borderId="75" xfId="0" applyFont="1" applyFill="1" applyBorder="1" applyAlignment="1">
      <alignment horizontal="left" vertical="top" wrapText="1"/>
    </xf>
    <xf numFmtId="0" fontId="14" fillId="13" borderId="83" xfId="0" applyFont="1" applyFill="1" applyBorder="1" applyAlignment="1">
      <alignment horizontal="left" vertical="top" wrapText="1"/>
    </xf>
    <xf numFmtId="0" fontId="0" fillId="0" borderId="33" xfId="0" applyBorder="1" applyAlignment="1">
      <alignment horizontal="left" vertical="top" wrapText="1"/>
    </xf>
    <xf numFmtId="0" fontId="59" fillId="13" borderId="33" xfId="18" applyFont="1" applyFill="1" applyBorder="1" applyAlignment="1">
      <alignment horizontal="left" vertical="top" wrapText="1"/>
    </xf>
    <xf numFmtId="0" fontId="0" fillId="0" borderId="78" xfId="0" applyBorder="1" applyAlignment="1">
      <alignment horizontal="left" vertical="top" wrapText="1"/>
    </xf>
    <xf numFmtId="0" fontId="9" fillId="0" borderId="7" xfId="18" applyFont="1" applyBorder="1" applyAlignment="1">
      <alignment vertical="top" wrapText="1"/>
    </xf>
    <xf numFmtId="0" fontId="9" fillId="0" borderId="8" xfId="18" applyFont="1" applyBorder="1" applyAlignment="1">
      <alignment vertical="top" wrapText="1"/>
    </xf>
    <xf numFmtId="0" fontId="9" fillId="25" borderId="7" xfId="18" applyFont="1" applyFill="1" applyBorder="1" applyAlignment="1">
      <alignment horizontal="left" vertical="top" wrapText="1"/>
    </xf>
    <xf numFmtId="0" fontId="0" fillId="0" borderId="8" xfId="0" applyBorder="1" applyAlignment="1">
      <alignment horizontal="left" vertical="top" wrapText="1"/>
    </xf>
    <xf numFmtId="0" fontId="10" fillId="0" borderId="29" xfId="18" applyFont="1" applyBorder="1" applyAlignment="1">
      <alignment vertical="top" wrapText="1"/>
    </xf>
    <xf numFmtId="0" fontId="5" fillId="0" borderId="29" xfId="18" applyBorder="1" applyAlignment="1">
      <alignment vertical="top" wrapText="1"/>
    </xf>
    <xf numFmtId="0" fontId="9" fillId="0" borderId="29" xfId="18" applyFont="1" applyBorder="1" applyAlignment="1">
      <alignment vertical="top" wrapText="1"/>
    </xf>
    <xf numFmtId="0" fontId="9" fillId="22" borderId="29" xfId="18" applyFont="1" applyFill="1" applyBorder="1" applyAlignment="1" applyProtection="1">
      <alignment vertical="top" wrapText="1"/>
      <protection locked="0"/>
    </xf>
    <xf numFmtId="0" fontId="9" fillId="27" borderId="7" xfId="18" applyFont="1" applyFill="1" applyBorder="1" applyAlignment="1">
      <alignment horizontal="left" vertical="top" wrapText="1"/>
    </xf>
    <xf numFmtId="0" fontId="7" fillId="25" borderId="7" xfId="18" applyFont="1" applyFill="1" applyBorder="1" applyAlignment="1">
      <alignment horizontal="left" vertical="top"/>
    </xf>
    <xf numFmtId="0" fontId="7" fillId="25" borderId="8" xfId="18" applyFont="1" applyFill="1" applyBorder="1" applyAlignment="1">
      <alignment horizontal="left" vertical="top"/>
    </xf>
    <xf numFmtId="0" fontId="49" fillId="13" borderId="44" xfId="18" applyFont="1" applyFill="1" applyBorder="1" applyAlignment="1">
      <alignment horizontal="left" vertical="top" wrapText="1"/>
    </xf>
    <xf numFmtId="0" fontId="49" fillId="13" borderId="42" xfId="18" applyFont="1" applyFill="1" applyBorder="1" applyAlignment="1">
      <alignment horizontal="left" vertical="top" wrapText="1"/>
    </xf>
    <xf numFmtId="0" fontId="49" fillId="13" borderId="51" xfId="18" applyFont="1" applyFill="1" applyBorder="1" applyAlignment="1">
      <alignment horizontal="left" vertical="top" wrapText="1"/>
    </xf>
    <xf numFmtId="0" fontId="7" fillId="0" borderId="0" xfId="18" applyFont="1" applyAlignment="1">
      <alignment horizontal="left" vertical="top" wrapText="1"/>
    </xf>
    <xf numFmtId="0" fontId="89" fillId="27" borderId="0" xfId="18" applyFont="1" applyFill="1" applyAlignment="1">
      <alignment vertical="top"/>
    </xf>
    <xf numFmtId="0" fontId="7" fillId="13" borderId="45" xfId="18" applyFont="1" applyFill="1" applyBorder="1" applyAlignment="1">
      <alignment horizontal="left" vertical="top" wrapText="1"/>
    </xf>
    <xf numFmtId="0" fontId="7" fillId="13" borderId="43" xfId="0" applyFont="1" applyFill="1" applyBorder="1" applyAlignment="1">
      <alignment horizontal="left" vertical="top" wrapText="1"/>
    </xf>
    <xf numFmtId="0" fontId="0" fillId="0" borderId="84" xfId="0" applyBorder="1" applyAlignment="1">
      <alignment horizontal="left" vertical="top" wrapText="1"/>
    </xf>
    <xf numFmtId="0" fontId="5" fillId="13" borderId="7" xfId="18" applyFill="1" applyBorder="1" applyAlignment="1">
      <alignment horizontal="left" vertical="top" wrapText="1"/>
    </xf>
    <xf numFmtId="0" fontId="5" fillId="13" borderId="32" xfId="18" applyFill="1" applyBorder="1" applyAlignment="1">
      <alignment horizontal="left" vertical="top" wrapText="1"/>
    </xf>
    <xf numFmtId="0" fontId="5" fillId="13" borderId="8" xfId="18" applyFill="1" applyBorder="1" applyAlignment="1">
      <alignment horizontal="left" vertical="top" wrapText="1"/>
    </xf>
    <xf numFmtId="0" fontId="9" fillId="27" borderId="29" xfId="18" applyFont="1" applyFill="1" applyBorder="1" applyAlignment="1">
      <alignment vertical="top" wrapText="1"/>
    </xf>
    <xf numFmtId="0" fontId="144" fillId="25" borderId="29" xfId="18" applyFont="1" applyFill="1" applyBorder="1" applyAlignment="1">
      <alignment vertical="top" wrapText="1"/>
    </xf>
    <xf numFmtId="0" fontId="144" fillId="27" borderId="29" xfId="18" applyFont="1" applyFill="1" applyBorder="1" applyAlignment="1">
      <alignment vertical="top" wrapText="1"/>
    </xf>
    <xf numFmtId="0" fontId="151" fillId="0" borderId="0" xfId="18" applyFont="1" applyAlignment="1">
      <alignment horizontal="left" vertical="top" wrapText="1"/>
    </xf>
    <xf numFmtId="0" fontId="49" fillId="13" borderId="27" xfId="18" applyFont="1" applyFill="1" applyBorder="1" applyAlignment="1">
      <alignment horizontal="left" vertical="top" wrapText="1"/>
    </xf>
    <xf numFmtId="0" fontId="49" fillId="13" borderId="30" xfId="18" applyFont="1" applyFill="1" applyBorder="1" applyAlignment="1">
      <alignment horizontal="left" vertical="top" wrapText="1"/>
    </xf>
    <xf numFmtId="0" fontId="49" fillId="13" borderId="28" xfId="18" applyFont="1" applyFill="1" applyBorder="1" applyAlignment="1">
      <alignment horizontal="left" vertical="top" wrapText="1"/>
    </xf>
    <xf numFmtId="0" fontId="8" fillId="0" borderId="0" xfId="18" applyFont="1" applyAlignment="1">
      <alignment horizontal="left" vertical="top" wrapText="1"/>
    </xf>
    <xf numFmtId="0" fontId="7" fillId="13" borderId="24" xfId="18" applyFont="1" applyFill="1" applyBorder="1" applyAlignment="1">
      <alignment horizontal="left" vertical="top" wrapText="1"/>
    </xf>
    <xf numFmtId="0" fontId="0" fillId="0" borderId="50" xfId="0" applyBorder="1" applyAlignment="1">
      <alignment horizontal="left" vertical="top" wrapText="1"/>
    </xf>
    <xf numFmtId="0" fontId="137" fillId="0" borderId="75" xfId="18" applyFont="1" applyBorder="1" applyAlignment="1">
      <alignment horizontal="left" vertical="top" wrapText="1"/>
    </xf>
    <xf numFmtId="0" fontId="87" fillId="0" borderId="75" xfId="0" applyFont="1" applyBorder="1" applyAlignment="1">
      <alignment horizontal="left" vertical="top" wrapText="1"/>
    </xf>
    <xf numFmtId="0" fontId="11" fillId="0" borderId="0" xfId="14" applyFill="1" applyAlignment="1" applyProtection="1">
      <alignment horizontal="left" vertical="top"/>
    </xf>
    <xf numFmtId="0" fontId="9" fillId="28" borderId="29" xfId="18" quotePrefix="1" applyFont="1" applyFill="1" applyBorder="1" applyAlignment="1" applyProtection="1">
      <alignment horizontal="left" vertical="top" wrapText="1"/>
      <protection locked="0"/>
    </xf>
    <xf numFmtId="0" fontId="9" fillId="28" borderId="29" xfId="18" applyFont="1" applyFill="1" applyBorder="1" applyAlignment="1" applyProtection="1">
      <alignment horizontal="left" vertical="top" wrapText="1"/>
      <protection locked="0"/>
    </xf>
    <xf numFmtId="0" fontId="9" fillId="27" borderId="29" xfId="18" quotePrefix="1" applyFont="1" applyFill="1" applyBorder="1" applyAlignment="1">
      <alignment horizontal="left" vertical="top" wrapText="1"/>
    </xf>
    <xf numFmtId="0" fontId="9" fillId="27" borderId="29" xfId="18" applyFont="1" applyFill="1" applyBorder="1" applyAlignment="1">
      <alignment horizontal="left" vertical="top" wrapText="1"/>
    </xf>
    <xf numFmtId="0" fontId="5" fillId="0" borderId="0" xfId="18" applyAlignment="1">
      <alignment vertical="top" wrapText="1"/>
    </xf>
    <xf numFmtId="0" fontId="7" fillId="0" borderId="0" xfId="18" applyFont="1" applyAlignment="1">
      <alignment vertical="top" wrapText="1"/>
    </xf>
    <xf numFmtId="0" fontId="148" fillId="13" borderId="33" xfId="0" applyFont="1" applyFill="1" applyBorder="1" applyAlignment="1">
      <alignment vertical="top" wrapText="1"/>
    </xf>
    <xf numFmtId="0" fontId="144" fillId="22" borderId="29" xfId="18" applyFont="1" applyFill="1" applyBorder="1" applyAlignment="1" applyProtection="1">
      <alignment vertical="top" wrapText="1"/>
      <protection locked="0"/>
    </xf>
    <xf numFmtId="0" fontId="143" fillId="0" borderId="29" xfId="0" applyFont="1" applyBorder="1" applyAlignment="1" applyProtection="1">
      <alignment vertical="top" wrapText="1"/>
      <protection locked="0"/>
    </xf>
    <xf numFmtId="0" fontId="59" fillId="13" borderId="75" xfId="18" applyFont="1" applyFill="1" applyBorder="1" applyAlignment="1">
      <alignment horizontal="left" vertical="top" wrapText="1"/>
    </xf>
    <xf numFmtId="0" fontId="0" fillId="0" borderId="77" xfId="0" applyBorder="1" applyAlignment="1">
      <alignment horizontal="left" vertical="top" wrapText="1"/>
    </xf>
    <xf numFmtId="0" fontId="14" fillId="13" borderId="82" xfId="0" applyFont="1" applyFill="1" applyBorder="1" applyAlignment="1">
      <alignment horizontal="left" vertical="top" wrapText="1"/>
    </xf>
    <xf numFmtId="0" fontId="0" fillId="0" borderId="76" xfId="0" applyBorder="1" applyAlignment="1">
      <alignment horizontal="left" vertical="top" wrapText="1"/>
    </xf>
    <xf numFmtId="0" fontId="149" fillId="13" borderId="33" xfId="18" applyFont="1" applyFill="1" applyBorder="1" applyAlignment="1">
      <alignment vertical="top" wrapText="1"/>
    </xf>
    <xf numFmtId="0" fontId="143" fillId="0" borderId="33" xfId="0" applyFont="1" applyBorder="1" applyAlignment="1">
      <alignment vertical="top" wrapText="1"/>
    </xf>
    <xf numFmtId="0" fontId="14" fillId="13" borderId="73" xfId="0" applyFont="1" applyFill="1" applyBorder="1" applyAlignment="1">
      <alignment horizontal="left" vertical="top" wrapText="1"/>
    </xf>
    <xf numFmtId="0" fontId="0" fillId="0" borderId="73" xfId="0" applyBorder="1" applyAlignment="1">
      <alignment horizontal="left" vertical="top" wrapText="1"/>
    </xf>
    <xf numFmtId="0" fontId="0" fillId="0" borderId="83" xfId="0" applyBorder="1" applyAlignment="1">
      <alignment horizontal="left" vertical="top" wrapText="1"/>
    </xf>
    <xf numFmtId="0" fontId="152" fillId="0" borderId="29" xfId="18" applyFont="1" applyBorder="1" applyAlignment="1">
      <alignment vertical="top" wrapText="1"/>
    </xf>
    <xf numFmtId="0" fontId="143" fillId="0" borderId="29" xfId="18" applyFont="1" applyBorder="1" applyAlignment="1">
      <alignment vertical="top" wrapText="1"/>
    </xf>
    <xf numFmtId="0" fontId="143" fillId="0" borderId="29" xfId="0" applyFont="1" applyBorder="1" applyAlignment="1">
      <alignment vertical="top" wrapText="1"/>
    </xf>
    <xf numFmtId="0" fontId="144" fillId="0" borderId="29" xfId="18" applyFont="1" applyBorder="1" applyAlignment="1">
      <alignment vertical="top" wrapText="1"/>
    </xf>
    <xf numFmtId="0" fontId="144" fillId="0" borderId="7" xfId="18" applyFont="1" applyBorder="1" applyAlignment="1">
      <alignment horizontal="left" vertical="top" wrapText="1"/>
    </xf>
    <xf numFmtId="0" fontId="144" fillId="0" borderId="32" xfId="18" applyFont="1" applyBorder="1" applyAlignment="1">
      <alignment horizontal="left" vertical="top" wrapText="1"/>
    </xf>
    <xf numFmtId="0" fontId="144" fillId="0" borderId="8" xfId="18" applyFont="1" applyBorder="1" applyAlignment="1">
      <alignment horizontal="left" vertical="top" wrapText="1"/>
    </xf>
    <xf numFmtId="0" fontId="9" fillId="22" borderId="7" xfId="18" applyFont="1" applyFill="1" applyBorder="1" applyAlignment="1" applyProtection="1">
      <alignment vertical="top" wrapText="1"/>
      <protection locked="0"/>
    </xf>
    <xf numFmtId="0" fontId="5" fillId="0" borderId="8" xfId="0" applyFont="1" applyBorder="1" applyAlignment="1" applyProtection="1">
      <alignment vertical="top" wrapText="1"/>
      <protection locked="0"/>
    </xf>
    <xf numFmtId="0" fontId="136" fillId="25" borderId="7" xfId="18" applyFont="1" applyFill="1" applyBorder="1" applyAlignment="1">
      <alignment horizontal="left" vertical="top"/>
    </xf>
    <xf numFmtId="0" fontId="0" fillId="0" borderId="8" xfId="0" applyBorder="1" applyAlignment="1">
      <alignment horizontal="left" vertical="top"/>
    </xf>
    <xf numFmtId="2" fontId="10" fillId="22" borderId="29" xfId="18" applyNumberFormat="1" applyFont="1" applyFill="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5" fillId="0" borderId="25" xfId="18" applyBorder="1" applyAlignment="1">
      <alignment vertical="top" wrapText="1"/>
    </xf>
    <xf numFmtId="0" fontId="48" fillId="0" borderId="0" xfId="18" applyFont="1" applyAlignment="1">
      <alignment horizontal="left" vertical="center" wrapText="1"/>
    </xf>
    <xf numFmtId="0" fontId="0" fillId="0" borderId="0" xfId="0" applyAlignment="1">
      <alignment horizontal="left" vertical="center" wrapText="1"/>
    </xf>
    <xf numFmtId="0" fontId="48" fillId="0" borderId="30" xfId="18" applyFont="1" applyBorder="1" applyAlignment="1">
      <alignment horizontal="left" vertical="top" wrapText="1"/>
    </xf>
    <xf numFmtId="0" fontId="0" fillId="0" borderId="79" xfId="0" applyBorder="1" applyAlignment="1">
      <alignment horizontal="left" vertical="top" wrapText="1"/>
    </xf>
    <xf numFmtId="0" fontId="0" fillId="0" borderId="32" xfId="0" applyBorder="1" applyAlignment="1">
      <alignment horizontal="left" vertical="top" wrapText="1"/>
    </xf>
    <xf numFmtId="0" fontId="10" fillId="22" borderId="21" xfId="18" applyFont="1" applyFill="1" applyBorder="1" applyAlignment="1" applyProtection="1">
      <alignment horizontal="left" vertical="top" wrapText="1"/>
      <protection locked="0"/>
    </xf>
    <xf numFmtId="0" fontId="10" fillId="22" borderId="31" xfId="18" applyFont="1" applyFill="1" applyBorder="1" applyAlignment="1" applyProtection="1">
      <alignment horizontal="left" vertical="top" wrapText="1"/>
      <protection locked="0"/>
    </xf>
    <xf numFmtId="0" fontId="0" fillId="0" borderId="31" xfId="0" applyBorder="1" applyAlignment="1">
      <alignment horizontal="left" vertical="top" wrapText="1"/>
    </xf>
    <xf numFmtId="0" fontId="0" fillId="0" borderId="22" xfId="0" applyBorder="1" applyAlignment="1">
      <alignment horizontal="left" vertical="top" wrapText="1"/>
    </xf>
    <xf numFmtId="0" fontId="10" fillId="22" borderId="24" xfId="18" applyFont="1" applyFill="1" applyBorder="1" applyAlignment="1" applyProtection="1">
      <alignment horizontal="left" vertical="top" wrapText="1"/>
      <protection locked="0"/>
    </xf>
    <xf numFmtId="0" fontId="10" fillId="22" borderId="0" xfId="18" applyFont="1" applyFill="1" applyAlignment="1" applyProtection="1">
      <alignment horizontal="left" vertical="top" wrapText="1"/>
      <protection locked="0"/>
    </xf>
    <xf numFmtId="0" fontId="0" fillId="0" borderId="25" xfId="0" applyBorder="1" applyAlignment="1">
      <alignment horizontal="left" vertical="top" wrapText="1"/>
    </xf>
    <xf numFmtId="0" fontId="10" fillId="22" borderId="27" xfId="18" applyFont="1" applyFill="1" applyBorder="1" applyAlignment="1" applyProtection="1">
      <alignment horizontal="left" vertical="top" wrapText="1"/>
      <protection locked="0"/>
    </xf>
    <xf numFmtId="0" fontId="10" fillId="22" borderId="30" xfId="18" applyFont="1" applyFill="1" applyBorder="1" applyAlignment="1" applyProtection="1">
      <alignment horizontal="left" vertical="top" wrapText="1"/>
      <protection locked="0"/>
    </xf>
    <xf numFmtId="0" fontId="0" fillId="0" borderId="30" xfId="0" applyBorder="1" applyAlignment="1">
      <alignment horizontal="left" vertical="top" wrapText="1"/>
    </xf>
    <xf numFmtId="0" fontId="0" fillId="0" borderId="28" xfId="0" applyBorder="1" applyAlignment="1">
      <alignment horizontal="left" vertical="top" wrapText="1"/>
    </xf>
    <xf numFmtId="164" fontId="5" fillId="22" borderId="21" xfId="18" applyNumberFormat="1" applyFill="1" applyBorder="1" applyAlignment="1" applyProtection="1">
      <alignment horizontal="left" vertical="top" wrapText="1"/>
      <protection locked="0"/>
    </xf>
    <xf numFmtId="164" fontId="5" fillId="22" borderId="7" xfId="18" applyNumberFormat="1" applyFill="1" applyBorder="1" applyAlignment="1" applyProtection="1">
      <alignment horizontal="left" vertical="top" wrapText="1"/>
      <protection locked="0"/>
    </xf>
    <xf numFmtId="164" fontId="5" fillId="25" borderId="27" xfId="18" applyNumberFormat="1" applyFill="1" applyBorder="1" applyAlignment="1">
      <alignment horizontal="left" vertical="top" wrapText="1"/>
    </xf>
    <xf numFmtId="0" fontId="7" fillId="13" borderId="30" xfId="18" applyFont="1" applyFill="1" applyBorder="1" applyAlignment="1">
      <alignment horizontal="left" vertical="top" wrapText="1"/>
    </xf>
    <xf numFmtId="2" fontId="9" fillId="22" borderId="55" xfId="18" applyNumberFormat="1" applyFont="1" applyFill="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2" fontId="9" fillId="22" borderId="26" xfId="18" applyNumberFormat="1" applyFont="1" applyFill="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2" fontId="9" fillId="22" borderId="29" xfId="18" applyNumberFormat="1" applyFont="1" applyFill="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9" fillId="22" borderId="55" xfId="18" applyFont="1" applyFill="1" applyBorder="1" applyAlignment="1" applyProtection="1">
      <alignment vertical="top" wrapText="1"/>
      <protection locked="0"/>
    </xf>
    <xf numFmtId="0" fontId="9" fillId="22" borderId="26" xfId="18" applyFont="1" applyFill="1" applyBorder="1" applyAlignment="1" applyProtection="1">
      <alignment vertical="top" wrapText="1"/>
      <protection locked="0"/>
    </xf>
    <xf numFmtId="0" fontId="10" fillId="0" borderId="7" xfId="18" applyFont="1" applyBorder="1" applyAlignment="1">
      <alignment horizontal="left" vertical="top" wrapText="1"/>
    </xf>
    <xf numFmtId="0" fontId="143" fillId="27" borderId="29" xfId="0" applyFont="1" applyFill="1" applyBorder="1" applyAlignment="1">
      <alignment vertical="top" wrapText="1"/>
    </xf>
    <xf numFmtId="0" fontId="5" fillId="13" borderId="7" xfId="18" applyFill="1" applyBorder="1" applyAlignment="1">
      <alignment vertical="top" wrapText="1"/>
    </xf>
    <xf numFmtId="0" fontId="5" fillId="13" borderId="32" xfId="0" applyFont="1" applyFill="1" applyBorder="1" applyAlignment="1">
      <alignment vertical="top" wrapText="1"/>
    </xf>
    <xf numFmtId="0" fontId="9" fillId="0" borderId="7" xfId="18" applyFont="1" applyBorder="1" applyAlignment="1">
      <alignment horizontal="left" vertical="top" wrapText="1"/>
    </xf>
    <xf numFmtId="0" fontId="142" fillId="0" borderId="0" xfId="18" applyFont="1" applyAlignment="1">
      <alignment horizontal="left" vertical="top" wrapText="1"/>
    </xf>
    <xf numFmtId="0" fontId="137" fillId="0" borderId="31" xfId="18" applyFont="1" applyBorder="1" applyAlignment="1">
      <alignment horizontal="left" vertical="top" wrapText="1"/>
    </xf>
    <xf numFmtId="0" fontId="137" fillId="0" borderId="0" xfId="18" applyFont="1" applyBorder="1" applyAlignment="1">
      <alignment horizontal="left" vertical="top" wrapText="1"/>
    </xf>
    <xf numFmtId="0" fontId="5" fillId="0" borderId="0" xfId="0" applyFont="1" applyBorder="1" applyAlignment="1">
      <alignment horizontal="left" vertical="top" wrapText="1"/>
    </xf>
    <xf numFmtId="0" fontId="137" fillId="0" borderId="0" xfId="18" applyFont="1" applyAlignment="1">
      <alignment horizontal="left" vertical="top" wrapText="1"/>
    </xf>
    <xf numFmtId="2" fontId="10" fillId="27" borderId="29" xfId="18" applyNumberFormat="1" applyFont="1" applyFill="1" applyBorder="1" applyAlignment="1">
      <alignment horizontal="left" vertical="top" wrapText="1"/>
    </xf>
    <xf numFmtId="0" fontId="166" fillId="13" borderId="75" xfId="14" applyFont="1" applyFill="1" applyBorder="1" applyAlignment="1" applyProtection="1">
      <alignment vertical="top" wrapText="1"/>
    </xf>
    <xf numFmtId="0" fontId="9" fillId="13" borderId="29" xfId="0" applyFont="1" applyFill="1" applyBorder="1" applyAlignment="1">
      <alignment horizontal="left" vertical="top" wrapText="1"/>
    </xf>
    <xf numFmtId="0" fontId="5" fillId="0" borderId="29" xfId="0" applyFont="1" applyBorder="1" applyAlignment="1">
      <alignment horizontal="left" vertical="top" wrapText="1"/>
    </xf>
    <xf numFmtId="0" fontId="10" fillId="0" borderId="29" xfId="18" applyFont="1" applyBorder="1" applyAlignment="1">
      <alignment horizontal="left" vertical="top" wrapText="1"/>
    </xf>
    <xf numFmtId="0" fontId="48" fillId="0" borderId="0" xfId="18" applyFont="1" applyAlignment="1">
      <alignment horizontal="left" vertical="top" wrapText="1"/>
    </xf>
    <xf numFmtId="0" fontId="59" fillId="13" borderId="78" xfId="18" applyFont="1" applyFill="1" applyBorder="1" applyAlignment="1">
      <alignment horizontal="left" vertical="top" wrapText="1"/>
    </xf>
    <xf numFmtId="0" fontId="59" fillId="13" borderId="0" xfId="18" applyFont="1" applyFill="1" applyAlignment="1">
      <alignment vertical="top" wrapText="1"/>
    </xf>
    <xf numFmtId="0" fontId="59" fillId="13" borderId="0" xfId="0" applyFont="1" applyFill="1" applyAlignment="1">
      <alignment vertical="top" wrapText="1"/>
    </xf>
    <xf numFmtId="0" fontId="9" fillId="13" borderId="26" xfId="0" applyFont="1" applyFill="1" applyBorder="1" applyAlignment="1">
      <alignment horizontal="left" vertical="top" wrapText="1"/>
    </xf>
    <xf numFmtId="0" fontId="5" fillId="0" borderId="26" xfId="0" applyFont="1" applyBorder="1" applyAlignment="1">
      <alignment horizontal="left" vertical="top" wrapText="1"/>
    </xf>
    <xf numFmtId="49" fontId="9" fillId="28" borderId="7" xfId="18" quotePrefix="1" applyNumberFormat="1" applyFont="1" applyFill="1" applyBorder="1" applyAlignment="1" applyProtection="1">
      <alignment horizontal="left" vertical="top"/>
      <protection locked="0"/>
    </xf>
    <xf numFmtId="49" fontId="9" fillId="28" borderId="8" xfId="18" quotePrefix="1" applyNumberFormat="1" applyFont="1" applyFill="1" applyBorder="1" applyAlignment="1" applyProtection="1">
      <alignment horizontal="left" vertical="top"/>
      <protection locked="0"/>
    </xf>
    <xf numFmtId="0" fontId="8" fillId="0" borderId="30" xfId="18" applyFont="1" applyBorder="1" applyAlignment="1">
      <alignment horizontal="left" vertical="top" wrapText="1"/>
    </xf>
    <xf numFmtId="0" fontId="10" fillId="13" borderId="29" xfId="18" applyFont="1" applyFill="1" applyBorder="1" applyAlignment="1">
      <alignment horizontal="left" vertical="top" wrapText="1"/>
    </xf>
    <xf numFmtId="0" fontId="10" fillId="13" borderId="29" xfId="0" applyFont="1" applyFill="1" applyBorder="1" applyAlignment="1">
      <alignment horizontal="left" vertical="top" wrapText="1"/>
    </xf>
    <xf numFmtId="0" fontId="14" fillId="13" borderId="0" xfId="0" applyFont="1" applyFill="1" applyAlignment="1">
      <alignment horizontal="left" vertical="top" wrapText="1"/>
    </xf>
    <xf numFmtId="0" fontId="59" fillId="13" borderId="0" xfId="0" applyFont="1" applyFill="1" applyAlignment="1">
      <alignment horizontal="left" vertical="top" wrapText="1"/>
    </xf>
    <xf numFmtId="0" fontId="7" fillId="13" borderId="25" xfId="0" applyFont="1" applyFill="1" applyBorder="1" applyAlignment="1">
      <alignment vertical="top" wrapText="1"/>
    </xf>
    <xf numFmtId="0" fontId="147" fillId="13" borderId="0" xfId="18" applyFont="1" applyFill="1" applyAlignment="1">
      <alignment vertical="top" wrapText="1"/>
    </xf>
    <xf numFmtId="0" fontId="147" fillId="13" borderId="0" xfId="0" applyFont="1" applyFill="1" applyAlignment="1">
      <alignment vertical="top" wrapText="1"/>
    </xf>
    <xf numFmtId="0" fontId="147" fillId="13" borderId="25" xfId="0" applyFont="1" applyFill="1" applyBorder="1" applyAlignment="1">
      <alignment vertical="top" wrapText="1"/>
    </xf>
    <xf numFmtId="0" fontId="148" fillId="13" borderId="0" xfId="18" applyFont="1" applyFill="1" applyAlignment="1">
      <alignment vertical="top" wrapText="1"/>
    </xf>
    <xf numFmtId="0" fontId="148" fillId="13" borderId="0" xfId="0" applyFont="1" applyFill="1" applyAlignment="1">
      <alignment vertical="top" wrapText="1"/>
    </xf>
    <xf numFmtId="0" fontId="10" fillId="0" borderId="7" xfId="18" applyFont="1" applyBorder="1" applyAlignment="1">
      <alignment vertical="top" wrapText="1"/>
    </xf>
    <xf numFmtId="0" fontId="0" fillId="0" borderId="8" xfId="0" applyBorder="1" applyAlignment="1">
      <alignment vertical="top" wrapText="1"/>
    </xf>
    <xf numFmtId="0" fontId="10" fillId="0" borderId="29" xfId="18" applyFont="1" applyBorder="1" applyAlignment="1">
      <alignment horizontal="center" vertical="top"/>
    </xf>
    <xf numFmtId="0" fontId="9" fillId="0" borderId="29" xfId="18" applyFont="1" applyBorder="1" applyAlignment="1">
      <alignment horizontal="center" vertical="top"/>
    </xf>
    <xf numFmtId="0" fontId="58" fillId="0" borderId="47" xfId="18" applyFont="1" applyBorder="1" applyAlignment="1">
      <alignment horizontal="center" vertical="center" wrapText="1"/>
    </xf>
    <xf numFmtId="0" fontId="35" fillId="0" borderId="65" xfId="0" applyFont="1" applyBorder="1" applyAlignment="1">
      <alignment vertical="center" wrapText="1"/>
    </xf>
    <xf numFmtId="0" fontId="54" fillId="13" borderId="0" xfId="18" applyFont="1" applyFill="1" applyAlignment="1">
      <alignment horizontal="left" vertical="top" wrapText="1"/>
    </xf>
    <xf numFmtId="0" fontId="54" fillId="13" borderId="0" xfId="0" applyFont="1" applyFill="1" applyAlignment="1">
      <alignment horizontal="left" vertical="top" wrapText="1"/>
    </xf>
    <xf numFmtId="0" fontId="45" fillId="0" borderId="29" xfId="18" applyFont="1" applyBorder="1" applyAlignment="1">
      <alignment horizontal="left" vertical="top" wrapText="1" indent="1"/>
    </xf>
    <xf numFmtId="0" fontId="9" fillId="0" borderId="29" xfId="18" applyFont="1" applyBorder="1" applyAlignment="1">
      <alignment horizontal="left" vertical="top" wrapText="1" indent="1"/>
    </xf>
    <xf numFmtId="0" fontId="71" fillId="13" borderId="0" xfId="18" applyFont="1" applyFill="1" applyAlignment="1">
      <alignment horizontal="left" vertical="top" wrapText="1"/>
    </xf>
    <xf numFmtId="0" fontId="87" fillId="13" borderId="0" xfId="18" applyFont="1" applyFill="1" applyAlignment="1">
      <alignment horizontal="left" vertical="top" wrapText="1"/>
    </xf>
    <xf numFmtId="0" fontId="87" fillId="13" borderId="0" xfId="0" applyFont="1" applyFill="1" applyAlignment="1">
      <alignment horizontal="left" vertical="top" wrapText="1"/>
    </xf>
    <xf numFmtId="0" fontId="10" fillId="0" borderId="21" xfId="18" applyFont="1" applyBorder="1" applyAlignment="1">
      <alignment horizontal="center" vertical="center" wrapText="1"/>
    </xf>
    <xf numFmtId="0" fontId="10" fillId="0" borderId="27" xfId="18" applyFont="1" applyBorder="1" applyAlignment="1">
      <alignment horizontal="center" vertical="center" wrapText="1"/>
    </xf>
    <xf numFmtId="0" fontId="5" fillId="0" borderId="8" xfId="18" applyBorder="1" applyAlignment="1">
      <alignment vertical="top" wrapText="1"/>
    </xf>
    <xf numFmtId="0" fontId="10" fillId="0" borderId="108" xfId="18" applyFont="1" applyBorder="1" applyAlignment="1">
      <alignment horizontal="center" vertical="center" wrapText="1"/>
    </xf>
    <xf numFmtId="0" fontId="35" fillId="0" borderId="46" xfId="0" applyFont="1" applyBorder="1" applyAlignment="1">
      <alignment vertical="center" wrapText="1"/>
    </xf>
    <xf numFmtId="0" fontId="58" fillId="0" borderId="29" xfId="18" applyFont="1" applyBorder="1" applyAlignment="1">
      <alignment horizontal="left" vertical="top" wrapText="1" indent="1"/>
    </xf>
    <xf numFmtId="0" fontId="45" fillId="0" borderId="29" xfId="18" applyFont="1" applyBorder="1" applyAlignment="1">
      <alignment horizontal="left" vertical="top" wrapText="1" indent="2"/>
    </xf>
    <xf numFmtId="0" fontId="9" fillId="0" borderId="29" xfId="18" applyFont="1" applyBorder="1" applyAlignment="1">
      <alignment horizontal="left" vertical="top" wrapText="1" indent="2"/>
    </xf>
    <xf numFmtId="0" fontId="10" fillId="0" borderId="26" xfId="18" applyFont="1" applyBorder="1" applyAlignment="1">
      <alignment vertical="top" wrapText="1"/>
    </xf>
    <xf numFmtId="0" fontId="9" fillId="0" borderId="26" xfId="18" applyFont="1" applyBorder="1" applyAlignment="1">
      <alignment vertical="top" wrapText="1"/>
    </xf>
    <xf numFmtId="0" fontId="6" fillId="21" borderId="32" xfId="18" applyFont="1" applyFill="1" applyBorder="1" applyAlignment="1">
      <alignment horizontal="left" vertical="top" wrapText="1"/>
    </xf>
    <xf numFmtId="0" fontId="10" fillId="0" borderId="7" xfId="18" applyFont="1" applyBorder="1" applyAlignment="1">
      <alignment horizontal="center" vertical="top" wrapText="1"/>
    </xf>
    <xf numFmtId="0" fontId="10" fillId="0" borderId="8" xfId="18" applyFont="1" applyBorder="1" applyAlignment="1">
      <alignment horizontal="center" vertical="top" wrapText="1"/>
    </xf>
    <xf numFmtId="0" fontId="10" fillId="0" borderId="20" xfId="18" applyFont="1" applyBorder="1" applyAlignment="1">
      <alignment horizontal="center" vertical="top" wrapText="1"/>
    </xf>
    <xf numFmtId="0" fontId="5" fillId="0" borderId="26" xfId="18" applyBorder="1" applyAlignment="1">
      <alignment vertical="top"/>
    </xf>
    <xf numFmtId="0" fontId="148" fillId="13" borderId="30" xfId="18" applyFont="1" applyFill="1" applyBorder="1" applyAlignment="1">
      <alignment horizontal="left" vertical="top" wrapText="1"/>
    </xf>
    <xf numFmtId="0" fontId="148" fillId="13" borderId="0" xfId="18" applyFont="1" applyFill="1" applyAlignment="1">
      <alignment horizontal="left" vertical="top" wrapText="1"/>
    </xf>
    <xf numFmtId="0" fontId="10" fillId="0" borderId="110" xfId="18" applyFont="1" applyBorder="1" applyAlignment="1">
      <alignment horizontal="center" vertical="top" wrapText="1"/>
    </xf>
    <xf numFmtId="0" fontId="5" fillId="0" borderId="106" xfId="18" applyBorder="1" applyAlignment="1">
      <alignment vertical="top"/>
    </xf>
    <xf numFmtId="0" fontId="10" fillId="32" borderId="112" xfId="18" applyFont="1" applyFill="1" applyBorder="1" applyAlignment="1">
      <alignment horizontal="center" vertical="top" wrapText="1"/>
    </xf>
    <xf numFmtId="0" fontId="5" fillId="32" borderId="107" xfId="18" applyFill="1" applyBorder="1" applyAlignment="1">
      <alignment vertical="top"/>
    </xf>
    <xf numFmtId="0" fontId="10" fillId="38" borderId="111" xfId="18" applyFont="1" applyFill="1" applyBorder="1" applyAlignment="1">
      <alignment horizontal="center" vertical="top" wrapText="1"/>
    </xf>
    <xf numFmtId="0" fontId="5" fillId="38" borderId="26" xfId="18" applyFill="1" applyBorder="1" applyAlignment="1">
      <alignment vertical="top"/>
    </xf>
    <xf numFmtId="0" fontId="10" fillId="0" borderId="0" xfId="18" applyFont="1" applyAlignment="1">
      <alignment horizontal="left" vertical="top" wrapText="1"/>
    </xf>
    <xf numFmtId="0" fontId="14" fillId="27" borderId="33" xfId="21" applyFont="1" applyFill="1" applyBorder="1" applyAlignment="1">
      <alignment horizontal="left" vertical="top" wrapText="1"/>
    </xf>
    <xf numFmtId="0" fontId="14" fillId="13" borderId="83" xfId="0" applyFont="1" applyFill="1" applyBorder="1" applyAlignment="1">
      <alignment vertical="top" wrapText="1"/>
    </xf>
    <xf numFmtId="0" fontId="14" fillId="13" borderId="33" xfId="0" applyFont="1" applyFill="1" applyBorder="1" applyAlignment="1">
      <alignment vertical="top" wrapText="1"/>
    </xf>
    <xf numFmtId="0" fontId="14" fillId="27" borderId="116" xfId="21" applyFont="1" applyFill="1" applyBorder="1" applyAlignment="1">
      <alignment horizontal="left" vertical="top" wrapText="1"/>
    </xf>
    <xf numFmtId="0" fontId="0" fillId="0" borderId="117" xfId="0" applyBorder="1" applyAlignment="1">
      <alignment horizontal="left" vertical="top" wrapText="1"/>
    </xf>
    <xf numFmtId="0" fontId="14" fillId="13" borderId="119" xfId="0" applyFont="1" applyFill="1" applyBorder="1" applyAlignment="1">
      <alignment vertical="top" wrapText="1"/>
    </xf>
    <xf numFmtId="0" fontId="14" fillId="13" borderId="116" xfId="0" applyFont="1" applyFill="1" applyBorder="1" applyAlignment="1">
      <alignment vertical="top" wrapText="1"/>
    </xf>
    <xf numFmtId="0" fontId="59" fillId="27" borderId="0" xfId="21" applyFont="1" applyFill="1" applyAlignment="1">
      <alignment horizontal="left" vertical="top" wrapText="1"/>
    </xf>
    <xf numFmtId="0" fontId="14" fillId="27" borderId="0" xfId="21" applyFont="1" applyFill="1" applyAlignment="1">
      <alignment horizontal="left" vertical="top" wrapText="1"/>
    </xf>
    <xf numFmtId="0" fontId="14" fillId="27" borderId="0" xfId="21" applyFont="1" applyFill="1" applyBorder="1" applyAlignment="1">
      <alignment horizontal="left" vertical="top" wrapText="1"/>
    </xf>
    <xf numFmtId="0" fontId="14" fillId="27" borderId="73" xfId="21" applyFont="1" applyFill="1" applyBorder="1" applyAlignment="1">
      <alignment horizontal="left" vertical="center" wrapText="1"/>
    </xf>
    <xf numFmtId="0" fontId="0" fillId="0" borderId="73" xfId="0" applyBorder="1" applyAlignment="1">
      <alignment horizontal="left" vertical="center" wrapText="1"/>
    </xf>
    <xf numFmtId="0" fontId="0" fillId="0" borderId="83" xfId="0" applyBorder="1" applyAlignment="1">
      <alignment horizontal="left" vertical="center" wrapText="1"/>
    </xf>
    <xf numFmtId="0" fontId="59" fillId="27" borderId="0" xfId="21" applyFont="1" applyFill="1" applyBorder="1" applyAlignment="1">
      <alignment horizontal="left" vertical="center" wrapText="1"/>
    </xf>
    <xf numFmtId="0" fontId="7" fillId="0" borderId="0" xfId="0" applyFont="1" applyBorder="1" applyAlignment="1">
      <alignment horizontal="left" vertical="center" wrapText="1"/>
    </xf>
    <xf numFmtId="0" fontId="14" fillId="27" borderId="117" xfId="21" applyFont="1" applyFill="1" applyBorder="1" applyAlignment="1">
      <alignment horizontal="left" vertical="top" wrapText="1"/>
    </xf>
    <xf numFmtId="0" fontId="14" fillId="27" borderId="118" xfId="21" applyFont="1" applyFill="1" applyBorder="1" applyAlignment="1">
      <alignment horizontal="left" vertical="top" wrapText="1"/>
    </xf>
    <xf numFmtId="0" fontId="14" fillId="27" borderId="75" xfId="21" applyFont="1" applyFill="1" applyBorder="1" applyAlignment="1">
      <alignment horizontal="left" vertical="top" wrapText="1"/>
    </xf>
    <xf numFmtId="0" fontId="14" fillId="27" borderId="77" xfId="21" applyFont="1" applyFill="1" applyBorder="1" applyAlignment="1">
      <alignment horizontal="left" vertical="top" wrapText="1"/>
    </xf>
    <xf numFmtId="0" fontId="14" fillId="13" borderId="120" xfId="0" applyFont="1" applyFill="1" applyBorder="1" applyAlignment="1">
      <alignment vertical="top" wrapText="1"/>
    </xf>
    <xf numFmtId="0" fontId="14" fillId="13" borderId="0" xfId="0" applyFont="1" applyFill="1" applyBorder="1" applyAlignment="1">
      <alignment vertical="top" wrapText="1"/>
    </xf>
    <xf numFmtId="0" fontId="14" fillId="13" borderId="121" xfId="0" applyFont="1" applyFill="1" applyBorder="1" applyAlignment="1">
      <alignment vertical="top" wrapText="1"/>
    </xf>
    <xf numFmtId="0" fontId="14" fillId="13" borderId="75" xfId="0" applyFont="1" applyFill="1" applyBorder="1" applyAlignment="1">
      <alignment vertical="top" wrapText="1"/>
    </xf>
    <xf numFmtId="0" fontId="166" fillId="13" borderId="83" xfId="14" applyFont="1" applyFill="1" applyBorder="1" applyAlignment="1" applyProtection="1">
      <alignment vertical="top" wrapText="1"/>
    </xf>
    <xf numFmtId="0" fontId="166" fillId="13" borderId="33" xfId="14" applyFont="1" applyFill="1" applyBorder="1" applyAlignment="1" applyProtection="1">
      <alignment vertical="top" wrapText="1"/>
    </xf>
    <xf numFmtId="0" fontId="166" fillId="13" borderId="78" xfId="14" applyFont="1" applyFill="1" applyBorder="1" applyAlignment="1" applyProtection="1">
      <alignment vertical="top" wrapText="1"/>
    </xf>
    <xf numFmtId="0" fontId="59" fillId="13" borderId="121" xfId="0" applyFont="1" applyFill="1" applyBorder="1" applyAlignment="1">
      <alignment vertical="top" wrapText="1"/>
    </xf>
    <xf numFmtId="0" fontId="59" fillId="13" borderId="75" xfId="0" applyFont="1" applyFill="1" applyBorder="1" applyAlignment="1">
      <alignment vertical="top" wrapText="1"/>
    </xf>
    <xf numFmtId="0" fontId="137" fillId="27" borderId="0" xfId="21" applyFont="1" applyFill="1" applyAlignment="1">
      <alignment horizontal="left" vertical="top" wrapText="1"/>
    </xf>
    <xf numFmtId="0" fontId="14" fillId="13" borderId="0" xfId="21" applyFont="1" applyFill="1" applyAlignment="1">
      <alignment vertical="top" wrapText="1"/>
    </xf>
    <xf numFmtId="0" fontId="59" fillId="27" borderId="0" xfId="18" applyFont="1" applyFill="1" applyAlignment="1">
      <alignment horizontal="left" vertical="top" wrapText="1"/>
    </xf>
    <xf numFmtId="0" fontId="14" fillId="13" borderId="0" xfId="21" applyFont="1" applyFill="1" applyAlignment="1">
      <alignment horizontal="left" vertical="top" wrapText="1"/>
    </xf>
    <xf numFmtId="0" fontId="6" fillId="31" borderId="0" xfId="18" applyFont="1" applyFill="1" applyAlignment="1">
      <alignment horizontal="left" vertical="top" wrapText="1"/>
    </xf>
    <xf numFmtId="0" fontId="5" fillId="31" borderId="0" xfId="0" applyFont="1" applyFill="1" applyAlignment="1">
      <alignment horizontal="left" vertical="top" wrapText="1"/>
    </xf>
    <xf numFmtId="0" fontId="5" fillId="25" borderId="7" xfId="0" applyFont="1" applyFill="1" applyBorder="1" applyAlignment="1">
      <alignment horizontal="left" vertical="top" wrapText="1"/>
    </xf>
    <xf numFmtId="0" fontId="5" fillId="25" borderId="32" xfId="0" applyFont="1" applyFill="1" applyBorder="1" applyAlignment="1">
      <alignment horizontal="left" vertical="top" wrapText="1"/>
    </xf>
    <xf numFmtId="0" fontId="5" fillId="25" borderId="8" xfId="0" applyFont="1" applyFill="1" applyBorder="1" applyAlignment="1">
      <alignment horizontal="left" vertical="top" wrapText="1"/>
    </xf>
    <xf numFmtId="0" fontId="154" fillId="27" borderId="29" xfId="21" applyFont="1" applyFill="1" applyBorder="1" applyAlignment="1">
      <alignment horizontal="center" vertical="top"/>
    </xf>
    <xf numFmtId="0" fontId="14" fillId="28" borderId="24" xfId="18" applyFont="1" applyFill="1" applyBorder="1" applyAlignment="1" applyProtection="1">
      <alignment horizontal="left" vertical="top" wrapText="1"/>
      <protection locked="0"/>
    </xf>
    <xf numFmtId="0" fontId="0" fillId="28" borderId="0" xfId="0" applyFill="1" applyAlignment="1" applyProtection="1">
      <alignment horizontal="left" vertical="top" wrapText="1"/>
      <protection locked="0"/>
    </xf>
    <xf numFmtId="0" fontId="0" fillId="28" borderId="25" xfId="0" applyFill="1" applyBorder="1" applyAlignment="1" applyProtection="1">
      <alignment horizontal="left" vertical="top" wrapText="1"/>
      <protection locked="0"/>
    </xf>
    <xf numFmtId="0" fontId="10" fillId="0" borderId="29" xfId="18" applyFont="1" applyBorder="1" applyAlignment="1">
      <alignment horizontal="center" vertical="top" wrapText="1"/>
    </xf>
    <xf numFmtId="0" fontId="5" fillId="0" borderId="29" xfId="18" applyBorder="1" applyAlignment="1">
      <alignment horizontal="center" vertical="top" wrapText="1"/>
    </xf>
    <xf numFmtId="0" fontId="142" fillId="13" borderId="0" xfId="18" applyFont="1" applyFill="1" applyAlignment="1">
      <alignment vertical="top" wrapText="1"/>
    </xf>
    <xf numFmtId="0" fontId="71" fillId="0" borderId="0" xfId="18" applyFont="1" applyAlignment="1">
      <alignment vertical="top" wrapText="1"/>
    </xf>
    <xf numFmtId="0" fontId="14" fillId="13" borderId="0" xfId="18" applyFont="1" applyFill="1" applyAlignment="1">
      <alignment vertical="center" wrapText="1"/>
    </xf>
    <xf numFmtId="0" fontId="5" fillId="0" borderId="0" xfId="18" applyAlignment="1">
      <alignment vertical="center" wrapText="1"/>
    </xf>
    <xf numFmtId="0" fontId="14" fillId="28" borderId="21" xfId="18" applyFont="1" applyFill="1" applyBorder="1" applyAlignment="1" applyProtection="1">
      <alignment horizontal="left" vertical="top" wrapText="1"/>
      <protection locked="0"/>
    </xf>
    <xf numFmtId="0" fontId="0" fillId="28" borderId="31" xfId="0" applyFill="1" applyBorder="1" applyAlignment="1" applyProtection="1">
      <alignment horizontal="left" vertical="top" wrapText="1"/>
      <protection locked="0"/>
    </xf>
    <xf numFmtId="0" fontId="0" fillId="28" borderId="22" xfId="0" applyFill="1" applyBorder="1" applyAlignment="1" applyProtection="1">
      <alignment horizontal="left" vertical="top" wrapText="1"/>
      <protection locked="0"/>
    </xf>
    <xf numFmtId="0" fontId="14" fillId="28" borderId="27" xfId="18" applyFont="1" applyFill="1" applyBorder="1" applyAlignment="1" applyProtection="1">
      <alignment horizontal="left" vertical="top" wrapText="1"/>
      <protection locked="0"/>
    </xf>
    <xf numFmtId="0" fontId="0" fillId="28" borderId="30" xfId="0" applyFill="1" applyBorder="1" applyAlignment="1" applyProtection="1">
      <alignment horizontal="left" vertical="top" wrapText="1"/>
      <protection locked="0"/>
    </xf>
    <xf numFmtId="0" fontId="0" fillId="28" borderId="28" xfId="0" applyFill="1" applyBorder="1" applyAlignment="1" applyProtection="1">
      <alignment horizontal="left" vertical="top" wrapText="1"/>
      <protection locked="0"/>
    </xf>
    <xf numFmtId="0" fontId="9" fillId="28" borderId="7" xfId="0" applyFont="1" applyFill="1" applyBorder="1" applyAlignment="1" applyProtection="1">
      <alignment horizontal="left" vertical="top"/>
      <protection locked="0"/>
    </xf>
    <xf numFmtId="0" fontId="9" fillId="28" borderId="32" xfId="0" applyFont="1" applyFill="1" applyBorder="1" applyAlignment="1" applyProtection="1">
      <alignment horizontal="left" vertical="top"/>
      <protection locked="0"/>
    </xf>
    <xf numFmtId="0" fontId="9" fillId="28" borderId="8" xfId="0" applyFont="1" applyFill="1" applyBorder="1" applyAlignment="1" applyProtection="1">
      <alignment horizontal="left" vertical="top"/>
      <protection locked="0"/>
    </xf>
    <xf numFmtId="0" fontId="147" fillId="0" borderId="7" xfId="18" applyFont="1" applyBorder="1" applyAlignment="1">
      <alignment horizontal="left" vertical="top" wrapText="1"/>
    </xf>
    <xf numFmtId="0" fontId="147" fillId="0" borderId="32" xfId="18" applyFont="1" applyBorder="1" applyAlignment="1">
      <alignment horizontal="left" vertical="top" wrapText="1"/>
    </xf>
    <xf numFmtId="0" fontId="143" fillId="0" borderId="39" xfId="0" applyFont="1" applyBorder="1" applyAlignment="1">
      <alignment horizontal="left" vertical="top" wrapText="1"/>
    </xf>
    <xf numFmtId="0" fontId="147" fillId="0" borderId="0" xfId="18" applyFont="1" applyAlignment="1">
      <alignment vertical="top" wrapText="1"/>
    </xf>
    <xf numFmtId="0" fontId="143" fillId="0" borderId="0" xfId="18" applyFont="1" applyAlignment="1">
      <alignment vertical="top" wrapText="1"/>
    </xf>
    <xf numFmtId="0" fontId="147" fillId="0" borderId="30" xfId="18" applyFont="1" applyBorder="1" applyAlignment="1">
      <alignment horizontal="left" vertical="top" wrapText="1"/>
    </xf>
    <xf numFmtId="0" fontId="143" fillId="0" borderId="30" xfId="0" applyFont="1" applyBorder="1" applyAlignment="1">
      <alignment horizontal="left" vertical="top" wrapText="1"/>
    </xf>
    <xf numFmtId="0" fontId="152" fillId="0" borderId="29" xfId="18" applyFont="1" applyBorder="1" applyAlignment="1">
      <alignment horizontal="center" vertical="top" wrapText="1"/>
    </xf>
    <xf numFmtId="0" fontId="143" fillId="0" borderId="29" xfId="18" applyFont="1" applyBorder="1" applyAlignment="1">
      <alignment horizontal="center" vertical="top" wrapText="1"/>
    </xf>
    <xf numFmtId="0" fontId="147" fillId="13" borderId="0" xfId="18" applyFont="1" applyFill="1" applyAlignment="1">
      <alignment horizontal="left" vertical="top" wrapText="1"/>
    </xf>
    <xf numFmtId="0" fontId="143" fillId="13" borderId="0" xfId="18" applyFont="1" applyFill="1" applyAlignment="1">
      <alignment horizontal="left" vertical="top" wrapText="1"/>
    </xf>
    <xf numFmtId="0" fontId="143" fillId="0" borderId="50" xfId="0" applyFont="1" applyBorder="1" applyAlignment="1">
      <alignment horizontal="left" vertical="top" wrapText="1"/>
    </xf>
    <xf numFmtId="0" fontId="149" fillId="13" borderId="0" xfId="18" applyFont="1" applyFill="1" applyAlignment="1">
      <alignment vertical="top" wrapText="1"/>
    </xf>
    <xf numFmtId="0" fontId="145" fillId="13" borderId="0" xfId="18" applyFont="1" applyFill="1" applyAlignment="1">
      <alignment vertical="top" wrapText="1"/>
    </xf>
    <xf numFmtId="0" fontId="146" fillId="31" borderId="0" xfId="18" applyFont="1" applyFill="1" applyAlignment="1">
      <alignment vertical="top" wrapText="1"/>
    </xf>
    <xf numFmtId="0" fontId="147" fillId="0" borderId="0" xfId="18" applyFont="1" applyAlignment="1">
      <alignment horizontal="left" vertical="top" wrapText="1"/>
    </xf>
    <xf numFmtId="0" fontId="143" fillId="0" borderId="7" xfId="18" applyFont="1" applyBorder="1" applyAlignment="1">
      <alignment horizontal="left" vertical="top" wrapText="1"/>
    </xf>
    <xf numFmtId="0" fontId="143" fillId="0" borderId="32" xfId="18" applyFont="1" applyBorder="1" applyAlignment="1">
      <alignment horizontal="left" vertical="top" wrapText="1"/>
    </xf>
    <xf numFmtId="0" fontId="143" fillId="0" borderId="0" xfId="18" applyFont="1" applyAlignment="1">
      <alignment horizontal="left" vertical="top" wrapText="1"/>
    </xf>
    <xf numFmtId="0" fontId="150" fillId="27" borderId="0" xfId="14" applyFont="1" applyFill="1" applyBorder="1" applyAlignment="1" applyProtection="1">
      <alignment horizontal="left" vertical="top" wrapText="1"/>
    </xf>
    <xf numFmtId="0" fontId="150" fillId="0" borderId="0" xfId="14" applyFont="1" applyAlignment="1" applyProtection="1">
      <alignment horizontal="left" vertical="top" wrapText="1"/>
    </xf>
    <xf numFmtId="0" fontId="50" fillId="27" borderId="0" xfId="0" applyFont="1" applyFill="1" applyAlignment="1">
      <alignment horizontal="left" vertical="top" wrapText="1"/>
    </xf>
    <xf numFmtId="0" fontId="51" fillId="27" borderId="0" xfId="0" applyFont="1" applyFill="1" applyAlignment="1">
      <alignment horizontal="left" vertical="top" wrapText="1"/>
    </xf>
    <xf numFmtId="0" fontId="50" fillId="27" borderId="0" xfId="18" applyFont="1" applyFill="1" applyAlignment="1">
      <alignment horizontal="left" vertical="top" wrapText="1"/>
    </xf>
    <xf numFmtId="0" fontId="51" fillId="0" borderId="0" xfId="0" applyFont="1" applyAlignment="1">
      <alignment horizontal="left" vertical="top" wrapText="1"/>
    </xf>
    <xf numFmtId="0" fontId="95" fillId="27" borderId="0" xfId="18" applyFont="1" applyFill="1" applyAlignment="1">
      <alignment horizontal="left" vertical="top" wrapText="1"/>
    </xf>
    <xf numFmtId="0" fontId="27" fillId="27" borderId="0" xfId="0" applyFont="1" applyFill="1" applyAlignment="1">
      <alignment horizontal="left" vertical="top" wrapText="1"/>
    </xf>
    <xf numFmtId="0" fontId="7" fillId="27" borderId="0" xfId="18" applyFont="1" applyFill="1" applyAlignment="1">
      <alignment horizontal="left" vertical="top" wrapText="1"/>
    </xf>
    <xf numFmtId="0" fontId="14" fillId="27" borderId="31" xfId="18" applyFont="1" applyFill="1" applyBorder="1" applyAlignment="1">
      <alignment horizontal="left" vertical="top" wrapText="1"/>
    </xf>
    <xf numFmtId="0" fontId="0" fillId="27" borderId="31" xfId="0" applyFill="1" applyBorder="1" applyAlignment="1">
      <alignment horizontal="left" vertical="top" wrapText="1"/>
    </xf>
    <xf numFmtId="0" fontId="14" fillId="27" borderId="0" xfId="18" applyFont="1" applyFill="1" applyAlignment="1">
      <alignment horizontal="left" vertical="top" wrapText="1"/>
    </xf>
    <xf numFmtId="0" fontId="5" fillId="28" borderId="7" xfId="0" applyFont="1" applyFill="1" applyBorder="1" applyAlignment="1" applyProtection="1">
      <alignment horizontal="left" vertical="top"/>
      <protection locked="0"/>
    </xf>
    <xf numFmtId="0" fontId="5" fillId="28" borderId="32" xfId="0" applyFont="1" applyFill="1" applyBorder="1" applyAlignment="1" applyProtection="1">
      <alignment horizontal="left" vertical="top"/>
      <protection locked="0"/>
    </xf>
    <xf numFmtId="0" fontId="5" fillId="28" borderId="8" xfId="0" applyFont="1" applyFill="1" applyBorder="1" applyAlignment="1" applyProtection="1">
      <alignment horizontal="left" vertical="top"/>
      <protection locked="0"/>
    </xf>
    <xf numFmtId="0" fontId="134" fillId="27" borderId="0" xfId="14" applyFont="1" applyFill="1" applyBorder="1" applyAlignment="1" applyProtection="1">
      <alignment horizontal="left" vertical="top" wrapText="1"/>
    </xf>
    <xf numFmtId="0" fontId="134" fillId="0" borderId="0" xfId="14" applyFont="1" applyAlignment="1" applyProtection="1">
      <alignment horizontal="left" vertical="top" wrapText="1"/>
    </xf>
    <xf numFmtId="0" fontId="160" fillId="13" borderId="0" xfId="0" applyFont="1" applyFill="1" applyAlignment="1">
      <alignment horizontal="left" vertical="top" wrapText="1"/>
    </xf>
    <xf numFmtId="0" fontId="5" fillId="28" borderId="29" xfId="0" applyFont="1" applyFill="1" applyBorder="1" applyAlignment="1" applyProtection="1">
      <alignment horizontal="center" vertical="top"/>
      <protection locked="0"/>
    </xf>
    <xf numFmtId="0" fontId="5" fillId="27" borderId="29" xfId="0" applyFont="1" applyFill="1" applyBorder="1" applyAlignment="1">
      <alignment horizontal="center" vertical="top"/>
    </xf>
    <xf numFmtId="0" fontId="5" fillId="27" borderId="61" xfId="0" applyFont="1" applyFill="1" applyBorder="1" applyAlignment="1">
      <alignment horizontal="center" vertical="top" wrapText="1"/>
    </xf>
    <xf numFmtId="0" fontId="5" fillId="27" borderId="63" xfId="0" applyFont="1" applyFill="1" applyBorder="1" applyAlignment="1">
      <alignment horizontal="center" vertical="top" wrapText="1"/>
    </xf>
    <xf numFmtId="0" fontId="5" fillId="27" borderId="64" xfId="0" applyFont="1" applyFill="1" applyBorder="1" applyAlignment="1">
      <alignment horizontal="center" vertical="top" wrapText="1"/>
    </xf>
    <xf numFmtId="0" fontId="5" fillId="27" borderId="62" xfId="0" applyFont="1" applyFill="1" applyBorder="1" applyAlignment="1">
      <alignment horizontal="center" vertical="top" wrapText="1"/>
    </xf>
    <xf numFmtId="0" fontId="50" fillId="13" borderId="0" xfId="0" applyFont="1" applyFill="1" applyAlignment="1">
      <alignment horizontal="left" vertical="top" wrapText="1"/>
    </xf>
    <xf numFmtId="0" fontId="5" fillId="28" borderId="21" xfId="0" applyFont="1" applyFill="1" applyBorder="1" applyAlignment="1" applyProtection="1">
      <alignment horizontal="center" vertical="top"/>
      <protection locked="0"/>
    </xf>
    <xf numFmtId="0" fontId="5" fillId="28" borderId="22" xfId="0" applyFont="1" applyFill="1" applyBorder="1" applyAlignment="1" applyProtection="1">
      <alignment horizontal="center" vertical="top"/>
      <protection locked="0"/>
    </xf>
    <xf numFmtId="0" fontId="5" fillId="28" borderId="7" xfId="0" applyFont="1" applyFill="1" applyBorder="1" applyAlignment="1" applyProtection="1">
      <alignment horizontal="center" vertical="top"/>
      <protection locked="0"/>
    </xf>
    <xf numFmtId="0" fontId="5" fillId="28" borderId="32" xfId="0" applyFont="1" applyFill="1" applyBorder="1" applyAlignment="1" applyProtection="1">
      <alignment horizontal="center" vertical="top"/>
      <protection locked="0"/>
    </xf>
    <xf numFmtId="0" fontId="5" fillId="28" borderId="8" xfId="0" applyFont="1" applyFill="1" applyBorder="1" applyAlignment="1" applyProtection="1">
      <alignment horizontal="center" vertical="top"/>
      <protection locked="0"/>
    </xf>
    <xf numFmtId="0" fontId="5" fillId="28" borderId="35" xfId="0" applyFont="1" applyFill="1" applyBorder="1" applyAlignment="1" applyProtection="1">
      <alignment horizontal="center" vertical="top"/>
      <protection locked="0"/>
    </xf>
    <xf numFmtId="166" fontId="5" fillId="27" borderId="7" xfId="0" applyNumberFormat="1" applyFont="1" applyFill="1" applyBorder="1" applyAlignment="1">
      <alignment horizontal="left" vertical="top"/>
    </xf>
    <xf numFmtId="166" fontId="5" fillId="27" borderId="32" xfId="0" applyNumberFormat="1" applyFont="1" applyFill="1" applyBorder="1" applyAlignment="1">
      <alignment horizontal="left" vertical="top"/>
    </xf>
    <xf numFmtId="166" fontId="5" fillId="25" borderId="40" xfId="0" applyNumberFormat="1" applyFont="1" applyFill="1" applyBorder="1" applyAlignment="1">
      <alignment horizontal="center" vertical="top"/>
    </xf>
    <xf numFmtId="166" fontId="5" fillId="25" borderId="58" xfId="0" applyNumberFormat="1" applyFont="1" applyFill="1" applyBorder="1" applyAlignment="1">
      <alignment horizontal="center" vertical="top"/>
    </xf>
    <xf numFmtId="164" fontId="5" fillId="25" borderId="7" xfId="0" applyNumberFormat="1" applyFont="1" applyFill="1" applyBorder="1" applyAlignment="1">
      <alignment horizontal="right" vertical="top"/>
    </xf>
    <xf numFmtId="164" fontId="5" fillId="25" borderId="8" xfId="0" applyNumberFormat="1" applyFont="1" applyFill="1" applyBorder="1" applyAlignment="1">
      <alignment horizontal="right" vertical="top"/>
    </xf>
    <xf numFmtId="0" fontId="5" fillId="27" borderId="7" xfId="0" applyFont="1" applyFill="1" applyBorder="1" applyAlignment="1">
      <alignment horizontal="left" vertical="top"/>
    </xf>
    <xf numFmtId="0" fontId="5" fillId="27" borderId="32" xfId="0" applyFont="1" applyFill="1" applyBorder="1" applyAlignment="1">
      <alignment horizontal="left" vertical="top"/>
    </xf>
    <xf numFmtId="0" fontId="96" fillId="13" borderId="31" xfId="0" applyFont="1" applyFill="1" applyBorder="1" applyAlignment="1">
      <alignment vertical="top" wrapText="1"/>
    </xf>
    <xf numFmtId="165" fontId="5" fillId="25" borderId="7" xfId="0" applyNumberFormat="1" applyFont="1" applyFill="1" applyBorder="1" applyAlignment="1">
      <alignment horizontal="right" vertical="top"/>
    </xf>
    <xf numFmtId="165" fontId="5" fillId="25" borderId="32" xfId="0" applyNumberFormat="1" applyFont="1" applyFill="1" applyBorder="1" applyAlignment="1">
      <alignment horizontal="right" vertical="top"/>
    </xf>
    <xf numFmtId="165" fontId="5" fillId="25" borderId="8" xfId="0" applyNumberFormat="1" applyFont="1" applyFill="1" applyBorder="1" applyAlignment="1">
      <alignment horizontal="right" vertical="top"/>
    </xf>
    <xf numFmtId="0" fontId="5" fillId="27" borderId="21" xfId="0" applyFont="1" applyFill="1" applyBorder="1" applyAlignment="1">
      <alignment horizontal="center" vertical="top" wrapText="1"/>
    </xf>
    <xf numFmtId="0" fontId="5" fillId="27" borderId="31" xfId="0" applyFont="1" applyFill="1" applyBorder="1" applyAlignment="1">
      <alignment horizontal="center" vertical="top" wrapText="1"/>
    </xf>
    <xf numFmtId="0" fontId="5" fillId="27" borderId="22" xfId="0" applyFont="1" applyFill="1" applyBorder="1" applyAlignment="1">
      <alignment horizontal="center" vertical="top" wrapText="1"/>
    </xf>
    <xf numFmtId="0" fontId="5" fillId="27" borderId="24" xfId="0" applyFont="1" applyFill="1" applyBorder="1" applyAlignment="1">
      <alignment horizontal="center" vertical="top" wrapText="1"/>
    </xf>
    <xf numFmtId="0" fontId="5" fillId="27" borderId="0" xfId="0" applyFont="1" applyFill="1" applyAlignment="1">
      <alignment horizontal="center" vertical="top" wrapText="1"/>
    </xf>
    <xf numFmtId="0" fontId="5" fillId="27" borderId="25" xfId="0" applyFont="1" applyFill="1" applyBorder="1" applyAlignment="1">
      <alignment horizontal="center" vertical="top" wrapText="1"/>
    </xf>
    <xf numFmtId="0" fontId="5" fillId="27" borderId="27" xfId="0" applyFont="1" applyFill="1" applyBorder="1" applyAlignment="1">
      <alignment horizontal="center" vertical="top" wrapText="1"/>
    </xf>
    <xf numFmtId="0" fontId="5" fillId="27" borderId="30" xfId="0" applyFont="1" applyFill="1" applyBorder="1" applyAlignment="1">
      <alignment horizontal="center" vertical="top" wrapText="1"/>
    </xf>
    <xf numFmtId="0" fontId="5" fillId="27" borderId="28" xfId="0" applyFont="1" applyFill="1" applyBorder="1" applyAlignment="1">
      <alignment horizontal="center" vertical="top" wrapText="1"/>
    </xf>
    <xf numFmtId="0" fontId="5" fillId="27" borderId="45" xfId="0" applyFont="1" applyFill="1" applyBorder="1" applyAlignment="1">
      <alignment horizontal="center" vertical="top" wrapText="1"/>
    </xf>
    <xf numFmtId="0" fontId="5" fillId="27" borderId="68" xfId="0" applyFont="1" applyFill="1" applyBorder="1" applyAlignment="1">
      <alignment horizontal="center" vertical="top" wrapText="1"/>
    </xf>
    <xf numFmtId="0" fontId="5" fillId="27" borderId="49" xfId="0" applyFont="1" applyFill="1" applyBorder="1" applyAlignment="1">
      <alignment horizontal="center" vertical="top" wrapText="1"/>
    </xf>
    <xf numFmtId="0" fontId="5" fillId="27" borderId="59" xfId="0" applyFont="1" applyFill="1" applyBorder="1" applyAlignment="1">
      <alignment horizontal="center" vertical="top" wrapText="1"/>
    </xf>
    <xf numFmtId="0" fontId="5" fillId="27" borderId="20" xfId="0" applyFont="1" applyFill="1" applyBorder="1" applyAlignment="1">
      <alignment horizontal="center" vertical="top" wrapText="1"/>
    </xf>
    <xf numFmtId="0" fontId="5" fillId="27" borderId="26" xfId="0" applyFont="1" applyFill="1" applyBorder="1" applyAlignment="1">
      <alignment horizontal="center" vertical="top" wrapText="1"/>
    </xf>
    <xf numFmtId="0" fontId="5" fillId="27" borderId="53" xfId="0" applyFont="1" applyFill="1" applyBorder="1" applyAlignment="1">
      <alignment horizontal="center" vertical="top" wrapText="1"/>
    </xf>
    <xf numFmtId="0" fontId="5" fillId="27" borderId="54" xfId="0" applyFont="1" applyFill="1" applyBorder="1" applyAlignment="1">
      <alignment horizontal="center" vertical="top" wrapText="1"/>
    </xf>
    <xf numFmtId="0" fontId="13" fillId="13" borderId="0" xfId="18" applyFont="1" applyFill="1" applyAlignment="1">
      <alignment horizontal="left" vertical="center" wrapText="1"/>
    </xf>
    <xf numFmtId="0" fontId="35" fillId="27" borderId="0" xfId="0" applyFont="1" applyFill="1" applyAlignment="1">
      <alignment horizontal="left" vertical="top"/>
    </xf>
    <xf numFmtId="0" fontId="5" fillId="27" borderId="8" xfId="0" applyFont="1" applyFill="1" applyBorder="1" applyAlignment="1">
      <alignment horizontal="left" vertical="top"/>
    </xf>
    <xf numFmtId="0" fontId="143" fillId="27" borderId="0" xfId="0" applyFont="1" applyFill="1" applyAlignment="1">
      <alignment horizontal="left" vertical="top" wrapText="1"/>
    </xf>
    <xf numFmtId="0" fontId="159" fillId="28" borderId="13" xfId="0" applyFont="1" applyFill="1" applyBorder="1" applyAlignment="1" applyProtection="1">
      <alignment horizontal="center" vertical="center"/>
      <protection locked="0"/>
    </xf>
    <xf numFmtId="0" fontId="159" fillId="28" borderId="15" xfId="0" applyFont="1" applyFill="1" applyBorder="1" applyAlignment="1" applyProtection="1">
      <alignment horizontal="center" vertical="center"/>
      <protection locked="0"/>
    </xf>
    <xf numFmtId="0" fontId="97" fillId="27" borderId="0" xfId="0" applyFont="1" applyFill="1" applyAlignment="1">
      <alignment horizontal="left" vertical="top" wrapText="1"/>
    </xf>
    <xf numFmtId="0" fontId="5" fillId="41" borderId="24" xfId="0" applyFont="1" applyFill="1" applyBorder="1" applyAlignment="1">
      <alignment horizontal="center"/>
    </xf>
    <xf numFmtId="0" fontId="5" fillId="41" borderId="0" xfId="0" applyFont="1" applyFill="1" applyAlignment="1">
      <alignment horizontal="center"/>
    </xf>
    <xf numFmtId="0" fontId="5" fillId="0" borderId="0" xfId="0" applyFont="1" applyAlignment="1">
      <alignment horizontal="center"/>
    </xf>
    <xf numFmtId="0" fontId="5" fillId="0" borderId="25" xfId="0" applyFont="1" applyBorder="1" applyAlignment="1">
      <alignment horizontal="center"/>
    </xf>
  </cellXfs>
  <cellStyles count="23">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heck Cell" xfId="8" xr:uid="{00000000-0005-0000-0000-000007000000}"/>
    <cellStyle name="Good"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Hyperlink" xfId="14" builtinId="8"/>
    <cellStyle name="Linked Cell" xfId="15" xr:uid="{00000000-0005-0000-0000-00000E000000}"/>
    <cellStyle name="Neutral" xfId="16" xr:uid="{00000000-0005-0000-0000-00000F000000}"/>
    <cellStyle name="Normal" xfId="0" builtinId="0"/>
    <cellStyle name="Note" xfId="17" xr:uid="{00000000-0005-0000-0000-000010000000}"/>
    <cellStyle name="Percent" xfId="22" builtinId="5"/>
    <cellStyle name="Standard 2" xfId="18" xr:uid="{00000000-0005-0000-0000-000013000000}"/>
    <cellStyle name="Standard 3" xfId="21" xr:uid="{00000000-0005-0000-0000-000014000000}"/>
    <cellStyle name="Standard_Outline NIMs template 10-09-30" xfId="19" xr:uid="{00000000-0005-0000-0000-000015000000}"/>
    <cellStyle name="Title" xfId="20" xr:uid="{00000000-0005-0000-0000-000016000000}"/>
  </cellStyles>
  <dxfs count="75">
    <dxf>
      <font>
        <strike/>
        <condense val="0"/>
        <extend val="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Up"/>
      </fill>
    </dxf>
    <dxf>
      <fill>
        <patternFill patternType="lightUp"/>
      </fill>
    </dxf>
    <dxf>
      <fill>
        <patternFill patternType="lightDown"/>
      </fill>
    </dxf>
    <dxf>
      <fill>
        <patternFill patternType="lightUp"/>
      </fill>
    </dxf>
    <dxf>
      <fill>
        <patternFill patternType="lightDown"/>
      </fill>
    </dxf>
    <dxf>
      <fill>
        <patternFill patternType="lightUp"/>
      </fill>
    </dxf>
    <dxf>
      <fill>
        <patternFill patternType="lightUp"/>
      </fill>
    </dxf>
    <dxf>
      <font>
        <strike/>
        <condense val="0"/>
        <extend val="0"/>
      </font>
    </dxf>
    <dxf>
      <fill>
        <patternFill patternType="lightDown"/>
      </fill>
    </dxf>
    <dxf>
      <fill>
        <patternFill patternType="lightUp"/>
      </fill>
    </dxf>
    <dxf>
      <font>
        <b/>
        <i val="0"/>
        <condense val="0"/>
        <extend val="0"/>
        <color indexed="10"/>
      </font>
    </dxf>
    <dxf>
      <font>
        <strike/>
        <condense val="0"/>
        <extend val="0"/>
      </font>
    </dxf>
    <dxf>
      <font>
        <b val="0"/>
        <i val="0"/>
        <strike/>
        <condense val="0"/>
        <extend val="0"/>
      </font>
    </dxf>
    <dxf>
      <font>
        <strike/>
        <condense val="0"/>
        <extend val="0"/>
      </font>
    </dxf>
    <dxf>
      <font>
        <strike/>
        <condense val="0"/>
        <extend val="0"/>
      </font>
    </dxf>
    <dxf>
      <fill>
        <patternFill patternType="lightUp"/>
      </fill>
    </dxf>
    <dxf>
      <fill>
        <patternFill patternType="lightUp"/>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Down"/>
      </fill>
    </dxf>
    <dxf>
      <fill>
        <patternFill>
          <bgColor theme="0" tint="-0.14996795556505021"/>
        </patternFill>
      </fill>
    </dxf>
    <dxf>
      <font>
        <b/>
        <i val="0"/>
        <color rgb="FFFF0000"/>
      </font>
    </dxf>
    <dxf>
      <fill>
        <patternFill patternType="lightUp">
          <bgColor auto="1"/>
        </patternFill>
      </fill>
    </dxf>
    <dxf>
      <fill>
        <patternFill patternType="lightUp">
          <bgColor auto="1"/>
        </patternFill>
      </fill>
    </dxf>
    <dxf>
      <fill>
        <patternFill patternType="lightUp">
          <bgColor auto="1"/>
        </patternFill>
      </fill>
    </dxf>
    <dxf>
      <fill>
        <patternFill patternType="lightUp"/>
      </fill>
    </dxf>
    <dxf>
      <fill>
        <patternFill patternType="lightDown"/>
      </fill>
    </dxf>
    <dxf>
      <fill>
        <patternFill>
          <bgColor theme="0" tint="-0.14996795556505021"/>
        </patternFill>
      </fill>
    </dxf>
    <dxf>
      <fill>
        <patternFill>
          <bgColor rgb="FFFF0000"/>
        </patternFill>
      </fill>
    </dxf>
    <dxf>
      <fill>
        <patternFill patternType="lightUp"/>
      </fill>
    </dxf>
    <dxf>
      <fill>
        <patternFill patternType="lightDown"/>
      </fill>
    </dxf>
    <dxf>
      <fill>
        <patternFill patternType="lightDown"/>
      </fill>
    </dxf>
    <dxf>
      <fill>
        <patternFill patternType="lightDown"/>
      </fill>
    </dxf>
    <dxf>
      <fill>
        <patternFill patternType="lightDown"/>
      </fill>
    </dxf>
    <dxf>
      <font>
        <b val="0"/>
        <i val="0"/>
        <strike/>
      </font>
    </dxf>
    <dxf>
      <font>
        <strike/>
      </font>
      <fill>
        <patternFill>
          <bgColor theme="0" tint="-4.9989318521683403E-2"/>
        </patternFill>
      </fill>
    </dxf>
    <dxf>
      <font>
        <b val="0"/>
        <i val="0"/>
        <strike/>
      </font>
    </dxf>
    <dxf>
      <font>
        <strike/>
      </font>
      <fill>
        <patternFill>
          <bgColor theme="0" tint="-4.9989318521683403E-2"/>
        </patternFill>
      </fill>
    </dxf>
    <dxf>
      <font>
        <strike/>
      </font>
      <fill>
        <patternFill>
          <bgColor theme="0" tint="-4.9989318521683403E-2"/>
        </patternFill>
      </fill>
    </dxf>
    <dxf>
      <fill>
        <patternFill patternType="lightDown"/>
      </fill>
    </dxf>
    <dxf>
      <font>
        <b val="0"/>
        <i val="0"/>
        <strike/>
      </font>
    </dxf>
    <dxf>
      <font>
        <strike/>
      </font>
    </dxf>
    <dxf>
      <font>
        <strike/>
      </font>
    </dxf>
    <dxf>
      <font>
        <strike/>
      </font>
    </dxf>
    <dxf>
      <fill>
        <patternFill patternType="lightUp"/>
      </fill>
    </dxf>
    <dxf>
      <font>
        <strike/>
      </font>
      <fill>
        <patternFill>
          <bgColor theme="0" tint="-4.9989318521683403E-2"/>
        </patternFill>
      </fill>
    </dxf>
    <dxf>
      <font>
        <strike/>
      </font>
      <fill>
        <patternFill>
          <bgColor theme="0" tint="-4.9989318521683403E-2"/>
        </patternFill>
      </fill>
    </dxf>
    <dxf>
      <fill>
        <patternFill patternType="lightUp"/>
      </fill>
    </dxf>
    <dxf>
      <fill>
        <patternFill patternType="lightTrellis">
          <bgColor indexed="9"/>
        </patternFill>
      </fill>
    </dxf>
    <dxf>
      <fill>
        <patternFill patternType="lightUp"/>
      </fill>
    </dxf>
    <dxf>
      <font>
        <strike/>
        <condense val="0"/>
        <extend val="0"/>
      </font>
    </dxf>
    <dxf>
      <fill>
        <patternFill patternType="lightUp"/>
      </fill>
    </dxf>
    <dxf>
      <fill>
        <patternFill patternType="lightDown"/>
      </fill>
    </dxf>
    <dxf>
      <fill>
        <patternFill patternType="lightDown"/>
      </fill>
    </dxf>
  </dxfs>
  <tableStyles count="0" defaultTableStyle="TableStyleMedium9" defaultPivotStyle="PivotStyleLight16"/>
  <colors>
    <mruColors>
      <color rgb="FF0000FF"/>
      <color rgb="FFCCFFCC"/>
      <color rgb="FFFF6464"/>
      <color rgb="FFCCFFFF"/>
      <color rgb="FFFFFFCC"/>
      <color rgb="FFFF0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5" name="Button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IE" sz="1000" b="0" i="0" u="none" strike="noStrike" baseline="0">
                  <a:solidFill>
                    <a:srgbClr val="000000"/>
                  </a:solidFill>
                  <a:latin typeface="Arial"/>
                  <a:cs typeface="Arial"/>
                </a:rPr>
                <a:t>Add another Part 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6" name="Button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IE"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0</xdr:row>
          <xdr:rowOff>0</xdr:rowOff>
        </xdr:from>
        <xdr:to>
          <xdr:col>8</xdr:col>
          <xdr:colOff>0</xdr:colOff>
          <xdr:row>0</xdr:row>
          <xdr:rowOff>0</xdr:rowOff>
        </xdr:to>
        <xdr:sp macro="" textlink="">
          <xdr:nvSpPr>
            <xdr:cNvPr id="37889" name="Button 1" hidden="1">
              <a:extLst>
                <a:ext uri="{63B3BB69-23CF-44E3-9099-C40C66FF867C}">
                  <a14:compatExt spid="_x0000_s37889"/>
                </a:ext>
                <a:ext uri="{FF2B5EF4-FFF2-40B4-BE49-F238E27FC236}">
                  <a16:creationId xmlns:a16="http://schemas.microsoft.com/office/drawing/2014/main" id="{00000000-0008-0000-0500-0000019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IE"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99393</xdr:colOff>
      <xdr:row>13</xdr:row>
      <xdr:rowOff>39645</xdr:rowOff>
    </xdr:from>
    <xdr:ext cx="1976439" cy="288000"/>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00000000-0008-0000-0700-000007000000}"/>
                </a:ext>
              </a:extLst>
            </xdr:cNvPr>
            <xdr:cNvSpPr txBox="1">
              <a:spLocks noChangeAspect="1"/>
            </xdr:cNvSpPr>
          </xdr:nvSpPr>
          <xdr:spPr>
            <a:xfrm>
              <a:off x="649358" y="2590688"/>
              <a:ext cx="1976439"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centerGroup"/>
                  </m:oMathParaPr>
                  <m:oMath xmlns:m="http://schemas.openxmlformats.org/officeDocument/2006/math">
                    <m:r>
                      <a:rPr lang="de-DE" sz="1200" b="0" i="1">
                        <a:latin typeface="Cambria Math" panose="02040503050406030204" pitchFamily="18" charset="0"/>
                      </a:rPr>
                      <m:t>𝐴𝑡𝑡𝑟</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r>
                      <a:rPr lang="de-DE" sz="1200" b="0" i="1">
                        <a:latin typeface="Cambria Math" panose="02040503050406030204" pitchFamily="18" charset="0"/>
                      </a:rPr>
                      <m:t>=</m:t>
                    </m:r>
                    <m:r>
                      <a:rPr lang="de-DE" sz="1200" b="0" i="1">
                        <a:latin typeface="Cambria Math" panose="02040503050406030204" pitchFamily="18" charset="0"/>
                      </a:rPr>
                      <m:t>𝑇𝑜𝑡𝑎𝑙</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r>
                      <a:rPr lang="de-DE" sz="1200" b="0" i="1">
                        <a:latin typeface="Cambria Math" panose="02040503050406030204" pitchFamily="18" charset="0"/>
                      </a:rPr>
                      <m:t> </m:t>
                    </m:r>
                    <m:r>
                      <a:rPr lang="de-DE" sz="1200" b="0" i="1">
                        <a:latin typeface="Cambria Math" panose="02040503050406030204" pitchFamily="18" charset="0"/>
                        <a:ea typeface="Cambria Math" panose="02040503050406030204" pitchFamily="18" charset="0"/>
                      </a:rPr>
                      <m:t>×  </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𝐹</m:t>
                        </m:r>
                      </m:e>
                      <m:sub>
                        <m:r>
                          <a:rPr lang="de-DE" sz="1200" b="0" i="1">
                            <a:latin typeface="Cambria Math" panose="02040503050406030204" pitchFamily="18" charset="0"/>
                            <a:ea typeface="Cambria Math" panose="02040503050406030204" pitchFamily="18" charset="0"/>
                          </a:rPr>
                          <m:t>𝐴𝑒</m:t>
                        </m:r>
                      </m:sub>
                    </m:sSub>
                  </m:oMath>
                </m:oMathPara>
              </a14:m>
              <a:endParaRPr lang="en-GB" sz="1200"/>
            </a:p>
          </xdr:txBody>
        </xdr:sp>
      </mc:Choice>
      <mc:Fallback xmlns="">
        <xdr:sp macro="" textlink="">
          <xdr:nvSpPr>
            <xdr:cNvPr id="7" name="Textfeld 6"/>
            <xdr:cNvSpPr txBox="1">
              <a:spLocks noChangeAspect="1"/>
            </xdr:cNvSpPr>
          </xdr:nvSpPr>
          <xdr:spPr>
            <a:xfrm>
              <a:off x="649358" y="2590688"/>
              <a:ext cx="1976439"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r>
                <a:rPr lang="de-DE" sz="1200" b="0" i="0">
                  <a:latin typeface="Cambria Math" panose="02040503050406030204" pitchFamily="18" charset="0"/>
                </a:rPr>
                <a:t>𝐴𝑡𝑡𝑟𝐹_𝑁=𝑇𝑜𝑡𝑎𝑙𝐹_𝑁  </a:t>
              </a:r>
              <a:r>
                <a:rPr lang="de-DE" sz="1200" b="0" i="0">
                  <a:latin typeface="Cambria Math" panose="02040503050406030204" pitchFamily="18" charset="0"/>
                  <a:ea typeface="Cambria Math" panose="02040503050406030204" pitchFamily="18" charset="0"/>
                </a:rPr>
                <a:t>×  𝐹_𝐴𝑒</a:t>
              </a:r>
              <a:endParaRPr lang="en-GB" sz="1200"/>
            </a:p>
          </xdr:txBody>
        </xdr:sp>
      </mc:Fallback>
    </mc:AlternateContent>
    <xdr:clientData/>
  </xdr:oneCellAnchor>
  <xdr:oneCellAnchor>
    <xdr:from>
      <xdr:col>4</xdr:col>
      <xdr:colOff>1053548</xdr:colOff>
      <xdr:row>13</xdr:row>
      <xdr:rowOff>39645</xdr:rowOff>
    </xdr:from>
    <xdr:ext cx="2117554" cy="288000"/>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00000000-0008-0000-0700-000008000000}"/>
                </a:ext>
              </a:extLst>
            </xdr:cNvPr>
            <xdr:cNvSpPr txBox="1">
              <a:spLocks noChangeAspect="1"/>
            </xdr:cNvSpPr>
          </xdr:nvSpPr>
          <xdr:spPr>
            <a:xfrm>
              <a:off x="3425687" y="2590688"/>
              <a:ext cx="2117554"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centerGroup"/>
                  </m:oMathParaPr>
                  <m:oMath xmlns:m="http://schemas.openxmlformats.org/officeDocument/2006/math">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𝐹</m:t>
                        </m:r>
                      </m:e>
                      <m:sub>
                        <m:r>
                          <a:rPr lang="de-DE" sz="1200" b="0" i="1">
                            <a:latin typeface="Cambria Math" panose="02040503050406030204" pitchFamily="18" charset="0"/>
                            <a:ea typeface="Cambria Math" panose="02040503050406030204" pitchFamily="18" charset="0"/>
                          </a:rPr>
                          <m:t>𝐴𝑒</m:t>
                        </m:r>
                      </m:sub>
                    </m:sSub>
                    <m:r>
                      <a:rPr lang="de-DE" sz="1200" b="0" i="1">
                        <a:latin typeface="Cambria Math" panose="02040503050406030204" pitchFamily="18" charset="0"/>
                        <a:ea typeface="Cambria Math" panose="02040503050406030204" pitchFamily="18" charset="0"/>
                      </a:rPr>
                      <m:t>=</m:t>
                    </m:r>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𝑟𝑒𝑙𝑒𝑣𝑎𝑛𝑡</m:t>
                        </m:r>
                      </m:sub>
                    </m:sSub>
                    <m:r>
                      <a:rPr lang="de-DE" sz="1200" b="0" i="1">
                        <a:latin typeface="Cambria Math" panose="02040503050406030204" pitchFamily="18" charset="0"/>
                        <a:ea typeface="Cambria Math" panose="02040503050406030204" pitchFamily="18" charset="0"/>
                      </a:rPr>
                      <m:t>/</m:t>
                    </m:r>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𝑡𝑜𝑡𝑎𝑙</m:t>
                        </m:r>
                      </m:sub>
                    </m:sSub>
                  </m:oMath>
                </m:oMathPara>
              </a14:m>
              <a:endParaRPr lang="en-GB" sz="1200"/>
            </a:p>
          </xdr:txBody>
        </xdr:sp>
      </mc:Choice>
      <mc:Fallback xmlns="">
        <xdr:sp macro="" textlink="">
          <xdr:nvSpPr>
            <xdr:cNvPr id="8" name="Textfeld 7"/>
            <xdr:cNvSpPr txBox="1">
              <a:spLocks noChangeAspect="1"/>
            </xdr:cNvSpPr>
          </xdr:nvSpPr>
          <xdr:spPr>
            <a:xfrm>
              <a:off x="3425687" y="2590688"/>
              <a:ext cx="2117554" cy="288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r>
                <a:rPr lang="de-DE" sz="1200" b="0" i="0">
                  <a:latin typeface="Cambria Math" panose="02040503050406030204" pitchFamily="18" charset="0"/>
                  <a:ea typeface="Cambria Math" panose="02040503050406030204" pitchFamily="18" charset="0"/>
                </a:rPr>
                <a:t>𝐹_𝐴𝑒=𝐸𝑚_𝑟𝑒𝑙𝑒𝑣𝑎𝑛𝑡/𝐸𝑚_𝑡𝑜𝑡𝑎𝑙</a:t>
              </a:r>
              <a:endParaRPr lang="en-GB" sz="1200"/>
            </a:p>
          </xdr:txBody>
        </xdr:sp>
      </mc:Fallback>
    </mc:AlternateContent>
    <xdr:clientData/>
  </xdr:oneCellAnchor>
  <xdr:oneCellAnchor>
    <xdr:from>
      <xdr:col>2</xdr:col>
      <xdr:colOff>59635</xdr:colOff>
      <xdr:row>15</xdr:row>
      <xdr:rowOff>19879</xdr:rowOff>
    </xdr:from>
    <xdr:ext cx="655983" cy="288000"/>
    <mc:AlternateContent xmlns:mc="http://schemas.openxmlformats.org/markup-compatibility/2006" xmlns:a14="http://schemas.microsoft.com/office/drawing/2010/main">
      <mc:Choice Requires="a14">
        <xdr:sp macro="" textlink="">
          <xdr:nvSpPr>
            <xdr:cNvPr id="9" name="Textfeld 8">
              <a:extLst>
                <a:ext uri="{FF2B5EF4-FFF2-40B4-BE49-F238E27FC236}">
                  <a16:creationId xmlns:a16="http://schemas.microsoft.com/office/drawing/2014/main" id="{00000000-0008-0000-0700-000009000000}"/>
                </a:ext>
              </a:extLst>
            </xdr:cNvPr>
            <xdr:cNvSpPr txBox="1">
              <a:spLocks noChangeAspect="1"/>
            </xdr:cNvSpPr>
          </xdr:nvSpPr>
          <xdr:spPr>
            <a:xfrm>
              <a:off x="609600" y="3087757"/>
              <a:ext cx="655983"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rPr>
                      <m:t>𝐴𝑡𝑡𝑟</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oMath>
                </m:oMathPara>
              </a14:m>
              <a:endParaRPr lang="en-GB" sz="1200"/>
            </a:p>
          </xdr:txBody>
        </xdr:sp>
      </mc:Choice>
      <mc:Fallback xmlns="">
        <xdr:sp macro="" textlink="">
          <xdr:nvSpPr>
            <xdr:cNvPr id="9" name="Textfeld 8"/>
            <xdr:cNvSpPr txBox="1">
              <a:spLocks noChangeAspect="1"/>
            </xdr:cNvSpPr>
          </xdr:nvSpPr>
          <xdr:spPr>
            <a:xfrm>
              <a:off x="609600" y="3087757"/>
              <a:ext cx="655983"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r>
                <a:rPr lang="de-DE" sz="1200" b="0" i="0">
                  <a:latin typeface="Cambria Math" panose="02040503050406030204" pitchFamily="18" charset="0"/>
                </a:rPr>
                <a:t>𝐴𝑡𝑡𝑟𝐹_𝑁</a:t>
              </a:r>
              <a:endParaRPr lang="en-GB" sz="1200"/>
            </a:p>
          </xdr:txBody>
        </xdr:sp>
      </mc:Fallback>
    </mc:AlternateContent>
    <xdr:clientData/>
  </xdr:oneCellAnchor>
  <xdr:oneCellAnchor>
    <xdr:from>
      <xdr:col>2</xdr:col>
      <xdr:colOff>59635</xdr:colOff>
      <xdr:row>16</xdr:row>
      <xdr:rowOff>14909</xdr:rowOff>
    </xdr:from>
    <xdr:ext cx="702366" cy="288000"/>
    <mc:AlternateContent xmlns:mc="http://schemas.openxmlformats.org/markup-compatibility/2006" xmlns:a14="http://schemas.microsoft.com/office/drawing/2010/main">
      <mc:Choice Requires="a14">
        <xdr:sp macro="" textlink="">
          <xdr:nvSpPr>
            <xdr:cNvPr id="10" name="Textfeld 9">
              <a:extLst>
                <a:ext uri="{FF2B5EF4-FFF2-40B4-BE49-F238E27FC236}">
                  <a16:creationId xmlns:a16="http://schemas.microsoft.com/office/drawing/2014/main" id="{00000000-0008-0000-0700-00000A000000}"/>
                </a:ext>
              </a:extLst>
            </xdr:cNvPr>
            <xdr:cNvSpPr txBox="1">
              <a:spLocks noChangeAspect="1"/>
            </xdr:cNvSpPr>
          </xdr:nvSpPr>
          <xdr:spPr>
            <a:xfrm>
              <a:off x="609600" y="3433970"/>
              <a:ext cx="702366"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rPr>
                      <m:t>𝑇𝑜𝑡𝑎𝑙</m:t>
                    </m:r>
                    <m:sSub>
                      <m:sSubPr>
                        <m:ctrlPr>
                          <a:rPr lang="de-DE" sz="1200" b="0" i="1">
                            <a:latin typeface="Cambria Math" panose="02040503050406030204" pitchFamily="18" charset="0"/>
                          </a:rPr>
                        </m:ctrlPr>
                      </m:sSubPr>
                      <m:e>
                        <m:r>
                          <a:rPr lang="de-DE" sz="1200" b="0" i="1">
                            <a:latin typeface="Cambria Math" panose="02040503050406030204" pitchFamily="18" charset="0"/>
                          </a:rPr>
                          <m:t>𝐹</m:t>
                        </m:r>
                      </m:e>
                      <m:sub>
                        <m:r>
                          <a:rPr lang="de-DE" sz="1200" b="0" i="1">
                            <a:latin typeface="Cambria Math" panose="02040503050406030204" pitchFamily="18" charset="0"/>
                          </a:rPr>
                          <m:t>𝑁</m:t>
                        </m:r>
                      </m:sub>
                    </m:sSub>
                  </m:oMath>
                </m:oMathPara>
              </a14:m>
              <a:endParaRPr lang="en-GB" sz="1200"/>
            </a:p>
          </xdr:txBody>
        </xdr:sp>
      </mc:Choice>
      <mc:Fallback xmlns="">
        <xdr:sp macro="" textlink="">
          <xdr:nvSpPr>
            <xdr:cNvPr id="10" name="Textfeld 9"/>
            <xdr:cNvSpPr txBox="1">
              <a:spLocks noChangeAspect="1"/>
            </xdr:cNvSpPr>
          </xdr:nvSpPr>
          <xdr:spPr>
            <a:xfrm>
              <a:off x="609600" y="3433970"/>
              <a:ext cx="702366"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r>
                <a:rPr lang="de-DE" sz="1200" b="0" i="0">
                  <a:latin typeface="Cambria Math" panose="02040503050406030204" pitchFamily="18" charset="0"/>
                </a:rPr>
                <a:t>𝑇𝑜𝑡𝑎𝑙𝐹_𝑁</a:t>
              </a:r>
              <a:endParaRPr lang="en-GB" sz="1200"/>
            </a:p>
          </xdr:txBody>
        </xdr:sp>
      </mc:Fallback>
    </mc:AlternateContent>
    <xdr:clientData/>
  </xdr:oneCellAnchor>
  <xdr:oneCellAnchor>
    <xdr:from>
      <xdr:col>2</xdr:col>
      <xdr:colOff>59635</xdr:colOff>
      <xdr:row>17</xdr:row>
      <xdr:rowOff>9940</xdr:rowOff>
    </xdr:from>
    <xdr:ext cx="344557" cy="288000"/>
    <mc:AlternateContent xmlns:mc="http://schemas.openxmlformats.org/markup-compatibility/2006" xmlns:a14="http://schemas.microsoft.com/office/drawing/2010/main">
      <mc:Choice Requires="a14">
        <xdr:sp macro="" textlink="">
          <xdr:nvSpPr>
            <xdr:cNvPr id="11" name="Textfeld 10">
              <a:extLst>
                <a:ext uri="{FF2B5EF4-FFF2-40B4-BE49-F238E27FC236}">
                  <a16:creationId xmlns:a16="http://schemas.microsoft.com/office/drawing/2014/main" id="{00000000-0008-0000-0700-00000B000000}"/>
                </a:ext>
              </a:extLst>
            </xdr:cNvPr>
            <xdr:cNvSpPr txBox="1">
              <a:spLocks noChangeAspect="1"/>
            </xdr:cNvSpPr>
          </xdr:nvSpPr>
          <xdr:spPr>
            <a:xfrm>
              <a:off x="609600" y="3780183"/>
              <a:ext cx="34455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14:m>
                <m:oMathPara xmlns:m="http://schemas.openxmlformats.org/officeDocument/2006/math">
                  <m:oMathParaPr>
                    <m:jc m:val="left"/>
                  </m:oMathParaPr>
                  <m:oMath xmlns:m="http://schemas.openxmlformats.org/officeDocument/2006/math">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𝐹</m:t>
                        </m:r>
                      </m:e>
                      <m:sub>
                        <m:r>
                          <a:rPr lang="de-DE" sz="1200" b="0" i="1">
                            <a:latin typeface="Cambria Math" panose="02040503050406030204" pitchFamily="18" charset="0"/>
                            <a:ea typeface="Cambria Math" panose="02040503050406030204" pitchFamily="18" charset="0"/>
                          </a:rPr>
                          <m:t>𝐴𝑒</m:t>
                        </m:r>
                      </m:sub>
                    </m:sSub>
                  </m:oMath>
                </m:oMathPara>
              </a14:m>
              <a:endParaRPr lang="en-GB" sz="1200"/>
            </a:p>
          </xdr:txBody>
        </xdr:sp>
      </mc:Choice>
      <mc:Fallback xmlns="">
        <xdr:sp macro="" textlink="">
          <xdr:nvSpPr>
            <xdr:cNvPr id="11" name="Textfeld 10"/>
            <xdr:cNvSpPr txBox="1">
              <a:spLocks noChangeAspect="1"/>
            </xdr:cNvSpPr>
          </xdr:nvSpPr>
          <xdr:spPr>
            <a:xfrm>
              <a:off x="609600" y="3780183"/>
              <a:ext cx="34455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l"/>
              <a:r>
                <a:rPr lang="de-DE" sz="1200" b="0" i="0">
                  <a:latin typeface="Cambria Math" panose="02040503050406030204" pitchFamily="18" charset="0"/>
                  <a:ea typeface="Cambria Math" panose="02040503050406030204" pitchFamily="18" charset="0"/>
                </a:rPr>
                <a:t>𝐹_𝐴𝑒</a:t>
              </a:r>
              <a:endParaRPr lang="en-GB" sz="1200"/>
            </a:p>
          </xdr:txBody>
        </xdr:sp>
      </mc:Fallback>
    </mc:AlternateContent>
    <xdr:clientData/>
  </xdr:oneCellAnchor>
  <xdr:oneCellAnchor>
    <xdr:from>
      <xdr:col>2</xdr:col>
      <xdr:colOff>59635</xdr:colOff>
      <xdr:row>18</xdr:row>
      <xdr:rowOff>18222</xdr:rowOff>
    </xdr:from>
    <xdr:ext cx="768627" cy="288000"/>
    <mc:AlternateContent xmlns:mc="http://schemas.openxmlformats.org/markup-compatibility/2006" xmlns:a14="http://schemas.microsoft.com/office/drawing/2010/main">
      <mc:Choice Requires="a14">
        <xdr:sp macro="" textlink="">
          <xdr:nvSpPr>
            <xdr:cNvPr id="12" name="Textfeld 11">
              <a:extLst>
                <a:ext uri="{FF2B5EF4-FFF2-40B4-BE49-F238E27FC236}">
                  <a16:creationId xmlns:a16="http://schemas.microsoft.com/office/drawing/2014/main" id="{00000000-0008-0000-0700-00000C000000}"/>
                </a:ext>
              </a:extLst>
            </xdr:cNvPr>
            <xdr:cNvSpPr txBox="1">
              <a:spLocks noChangeAspect="1"/>
            </xdr:cNvSpPr>
          </xdr:nvSpPr>
          <xdr:spPr>
            <a:xfrm>
              <a:off x="609600" y="4126396"/>
              <a:ext cx="76862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𝑟𝑒𝑙𝑒𝑣𝑎𝑛𝑡</m:t>
                        </m:r>
                      </m:sub>
                    </m:sSub>
                  </m:oMath>
                </m:oMathPara>
              </a14:m>
              <a:endParaRPr lang="en-GB" sz="1200"/>
            </a:p>
          </xdr:txBody>
        </xdr:sp>
      </mc:Choice>
      <mc:Fallback xmlns="">
        <xdr:sp macro="" textlink="">
          <xdr:nvSpPr>
            <xdr:cNvPr id="12" name="Textfeld 11"/>
            <xdr:cNvSpPr txBox="1">
              <a:spLocks noChangeAspect="1"/>
            </xdr:cNvSpPr>
          </xdr:nvSpPr>
          <xdr:spPr>
            <a:xfrm>
              <a:off x="609600" y="4126396"/>
              <a:ext cx="768627"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r>
                <a:rPr lang="de-DE" sz="1200" b="0" i="0">
                  <a:latin typeface="Cambria Math" panose="02040503050406030204" pitchFamily="18" charset="0"/>
                  <a:ea typeface="Cambria Math" panose="02040503050406030204" pitchFamily="18" charset="0"/>
                </a:rPr>
                <a:t>𝐸𝑚_𝑟𝑒𝑙𝑒𝑣𝑎𝑛𝑡</a:t>
              </a:r>
              <a:endParaRPr lang="en-GB" sz="1200"/>
            </a:p>
          </xdr:txBody>
        </xdr:sp>
      </mc:Fallback>
    </mc:AlternateContent>
    <xdr:clientData/>
  </xdr:oneCellAnchor>
  <xdr:oneCellAnchor>
    <xdr:from>
      <xdr:col>2</xdr:col>
      <xdr:colOff>59635</xdr:colOff>
      <xdr:row>19</xdr:row>
      <xdr:rowOff>13252</xdr:rowOff>
    </xdr:from>
    <xdr:ext cx="669235" cy="288000"/>
    <mc:AlternateContent xmlns:mc="http://schemas.openxmlformats.org/markup-compatibility/2006" xmlns:a14="http://schemas.microsoft.com/office/drawing/2010/main">
      <mc:Choice Requires="a14">
        <xdr:sp macro="" textlink="">
          <xdr:nvSpPr>
            <xdr:cNvPr id="13" name="Textfeld 12">
              <a:extLst>
                <a:ext uri="{FF2B5EF4-FFF2-40B4-BE49-F238E27FC236}">
                  <a16:creationId xmlns:a16="http://schemas.microsoft.com/office/drawing/2014/main" id="{00000000-0008-0000-0700-00000D000000}"/>
                </a:ext>
              </a:extLst>
            </xdr:cNvPr>
            <xdr:cNvSpPr txBox="1">
              <a:spLocks noChangeAspect="1"/>
            </xdr:cNvSpPr>
          </xdr:nvSpPr>
          <xdr:spPr>
            <a:xfrm>
              <a:off x="609600" y="4472609"/>
              <a:ext cx="669235"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14:m>
                <m:oMathPara xmlns:m="http://schemas.openxmlformats.org/officeDocument/2006/math">
                  <m:oMathParaPr>
                    <m:jc m:val="left"/>
                  </m:oMathParaPr>
                  <m:oMath xmlns:m="http://schemas.openxmlformats.org/officeDocument/2006/math">
                    <m:r>
                      <a:rPr lang="de-DE" sz="1200" b="0" i="1">
                        <a:latin typeface="Cambria Math" panose="02040503050406030204" pitchFamily="18" charset="0"/>
                        <a:ea typeface="Cambria Math" panose="02040503050406030204" pitchFamily="18" charset="0"/>
                      </a:rPr>
                      <m:t>𝐸</m:t>
                    </m:r>
                    <m:sSub>
                      <m:sSubPr>
                        <m:ctrlPr>
                          <a:rPr lang="de-DE" sz="1200" b="0" i="1">
                            <a:latin typeface="Cambria Math" panose="02040503050406030204" pitchFamily="18" charset="0"/>
                            <a:ea typeface="Cambria Math" panose="02040503050406030204" pitchFamily="18" charset="0"/>
                          </a:rPr>
                        </m:ctrlPr>
                      </m:sSubPr>
                      <m:e>
                        <m:r>
                          <a:rPr lang="de-DE" sz="1200" b="0" i="1">
                            <a:latin typeface="Cambria Math" panose="02040503050406030204" pitchFamily="18" charset="0"/>
                            <a:ea typeface="Cambria Math" panose="02040503050406030204" pitchFamily="18" charset="0"/>
                          </a:rPr>
                          <m:t>𝑚</m:t>
                        </m:r>
                      </m:e>
                      <m:sub>
                        <m:r>
                          <a:rPr lang="de-DE" sz="1200" b="0" i="1">
                            <a:latin typeface="Cambria Math" panose="02040503050406030204" pitchFamily="18" charset="0"/>
                            <a:ea typeface="Cambria Math" panose="02040503050406030204" pitchFamily="18" charset="0"/>
                          </a:rPr>
                          <m:t>𝑡𝑜𝑡𝑎𝑙</m:t>
                        </m:r>
                      </m:sub>
                    </m:sSub>
                  </m:oMath>
                </m:oMathPara>
              </a14:m>
              <a:endParaRPr lang="en-GB" sz="1200"/>
            </a:p>
          </xdr:txBody>
        </xdr:sp>
      </mc:Choice>
      <mc:Fallback xmlns="">
        <xdr:sp macro="" textlink="">
          <xdr:nvSpPr>
            <xdr:cNvPr id="13" name="Textfeld 12"/>
            <xdr:cNvSpPr txBox="1">
              <a:spLocks noChangeAspect="1"/>
            </xdr:cNvSpPr>
          </xdr:nvSpPr>
          <xdr:spPr>
            <a:xfrm>
              <a:off x="609600" y="4472609"/>
              <a:ext cx="669235" cy="28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r>
                <a:rPr lang="de-DE" sz="1200" b="0" i="0">
                  <a:latin typeface="Cambria Math" panose="02040503050406030204" pitchFamily="18" charset="0"/>
                  <a:ea typeface="Cambria Math" panose="02040503050406030204" pitchFamily="18" charset="0"/>
                </a:rPr>
                <a:t>𝐸𝑚_𝑡𝑜𝑡𝑎𝑙</a:t>
              </a:r>
              <a:endParaRPr lang="en-GB" sz="12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bafu.admin.ch/bafu/en/home/topics/climate/info-specialists/reduction-measures/ets/aviation.html" TargetMode="External"/><Relationship Id="rId2" Type="http://schemas.openxmlformats.org/officeDocument/2006/relationships/hyperlink" Target="http://eur-lex.europa.eu/legal-content/EN/TXT/PDF/?uri=CELEX:02012R0601-20140730&amp;qid=1447163892338&amp;from=EN" TargetMode="External"/><Relationship Id="rId1" Type="http://schemas.openxmlformats.org/officeDocument/2006/relationships/hyperlink" Target="http://eur-lex.europa.eu/legal-content/EN/TXT/HTML/?uri=CELEX:02003L0087-20151029&amp;qid=1447163831856&amp;from=EN" TargetMode="External"/><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22017A1207(01)" TargetMode="External"/><Relationship Id="rId7" Type="http://schemas.openxmlformats.org/officeDocument/2006/relationships/printerSettings" Target="../printerSettings/printerSettings2.bin"/><Relationship Id="rId2" Type="http://schemas.openxmlformats.org/officeDocument/2006/relationships/hyperlink" Target="https://eur-lex.europa.eu/eli/reg_del/2019/1603/oj" TargetMode="External"/><Relationship Id="rId1" Type="http://schemas.openxmlformats.org/officeDocument/2006/relationships/hyperlink" Target="http://eur-lex.europa.eu/en/index.htm" TargetMode="External"/><Relationship Id="rId6" Type="http://schemas.openxmlformats.org/officeDocument/2006/relationships/hyperlink" Target="https://www.icao.int/environmental-protection/CORSIA/Pages/default.aspx" TargetMode="External"/><Relationship Id="rId5" Type="http://schemas.openxmlformats.org/officeDocument/2006/relationships/hyperlink" Target="http://data.europa.eu/eli/dir/2003/87/2024-03-01" TargetMode="External"/><Relationship Id="rId4" Type="http://schemas.openxmlformats.org/officeDocument/2006/relationships/hyperlink" Target="http://data.europa.eu/eli/reg_impl/2018/2066/2024-07-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103"/>
  <sheetViews>
    <sheetView showGridLines="0" tabSelected="1" topLeftCell="A5" zoomScale="115" zoomScaleNormal="115" zoomScaleSheetLayoutView="100" workbookViewId="0"/>
  </sheetViews>
  <sheetFormatPr defaultColWidth="11.44140625" defaultRowHeight="13.2" x14ac:dyDescent="0.25"/>
  <cols>
    <col min="1" max="1" width="4.5546875" style="13" customWidth="1"/>
    <col min="2" max="9" width="12.5546875" style="13" customWidth="1"/>
    <col min="10" max="10" width="4.5546875" style="13" customWidth="1"/>
    <col min="11" max="11" width="11.44140625" style="13" customWidth="1"/>
    <col min="12" max="12" width="11.44140625" style="908"/>
    <col min="13" max="13" width="11.44140625" style="542"/>
    <col min="14" max="16384" width="11.44140625" style="13"/>
  </cols>
  <sheetData>
    <row r="2" spans="1:12" ht="63.75" customHeight="1" x14ac:dyDescent="0.25">
      <c r="B2" s="988" t="str">
        <f>Translations!$B$840</f>
        <v>ANNUAL EMISSIONS REPORT FOR AIRCRAFT OPERATORS</v>
      </c>
      <c r="C2" s="988"/>
      <c r="D2" s="988"/>
      <c r="E2" s="988"/>
      <c r="F2" s="988"/>
      <c r="G2" s="988"/>
      <c r="H2" s="988"/>
      <c r="I2" s="988"/>
    </row>
    <row r="3" spans="1:12" ht="63.75" customHeight="1" x14ac:dyDescent="0.25">
      <c r="B3" s="988" t="str">
        <f>Translations!$B$1244</f>
        <v>Used for combined reporting under the EU ETS, the Swiss ETS and ICAO CORSIA</v>
      </c>
      <c r="C3" s="988"/>
      <c r="D3" s="988"/>
      <c r="E3" s="988"/>
      <c r="F3" s="988"/>
      <c r="G3" s="988"/>
      <c r="H3" s="988"/>
      <c r="I3" s="988"/>
    </row>
    <row r="4" spans="1:12" ht="13.35" customHeight="1" x14ac:dyDescent="0.25">
      <c r="B4" s="478" t="s">
        <v>2064</v>
      </c>
      <c r="K4" s="542"/>
    </row>
    <row r="5" spans="1:12" x14ac:dyDescent="0.25">
      <c r="B5" s="173"/>
    </row>
    <row r="6" spans="1:12" ht="29.25" customHeight="1" x14ac:dyDescent="0.25">
      <c r="B6" s="989" t="str">
        <f>Translations!$B$3</f>
        <v>CONTENTS</v>
      </c>
      <c r="C6" s="964"/>
      <c r="D6" s="964"/>
      <c r="E6" s="964"/>
      <c r="F6" s="964"/>
      <c r="G6" s="964"/>
      <c r="H6" s="964"/>
      <c r="I6" s="964"/>
      <c r="J6" s="295"/>
    </row>
    <row r="7" spans="1:12" x14ac:dyDescent="0.25">
      <c r="A7" s="174"/>
      <c r="B7" s="959" t="str">
        <f>Translations!$B$4</f>
        <v>Guidelines and conditions</v>
      </c>
      <c r="C7" s="960"/>
      <c r="D7" s="960"/>
      <c r="E7" s="960"/>
      <c r="F7" s="960"/>
      <c r="G7" s="2"/>
      <c r="H7" s="2"/>
      <c r="I7" s="2"/>
    </row>
    <row r="8" spans="1:12" x14ac:dyDescent="0.25">
      <c r="A8" s="174">
        <v>1</v>
      </c>
      <c r="B8" s="959" t="str">
        <f>Translations!$B$1088</f>
        <v>Reporting Year and Scope</v>
      </c>
      <c r="C8" s="959"/>
      <c r="D8" s="959"/>
      <c r="E8" s="959"/>
      <c r="F8" s="959"/>
      <c r="G8" s="2"/>
      <c r="H8" s="2"/>
      <c r="I8" s="2"/>
      <c r="L8" s="908" t="s">
        <v>13</v>
      </c>
    </row>
    <row r="9" spans="1:12" x14ac:dyDescent="0.25">
      <c r="A9" s="174">
        <v>2</v>
      </c>
      <c r="B9" s="959" t="str">
        <f>Translations!$B$6</f>
        <v>Identification of the aircraft operator</v>
      </c>
      <c r="C9" s="959"/>
      <c r="D9" s="959"/>
      <c r="E9" s="959"/>
      <c r="F9" s="960"/>
      <c r="G9" s="3"/>
      <c r="H9" s="3"/>
      <c r="I9" s="3"/>
    </row>
    <row r="10" spans="1:12" x14ac:dyDescent="0.25">
      <c r="A10" s="174">
        <v>3</v>
      </c>
      <c r="B10" s="959" t="str">
        <f>Translations!$B$842</f>
        <v>Identification of the verifier</v>
      </c>
      <c r="C10" s="959"/>
      <c r="D10" s="959"/>
      <c r="E10" s="959"/>
      <c r="F10" s="960"/>
      <c r="G10" s="3"/>
      <c r="H10" s="3"/>
      <c r="I10" s="3"/>
    </row>
    <row r="11" spans="1:12" x14ac:dyDescent="0.25">
      <c r="A11" s="174">
        <v>4</v>
      </c>
      <c r="B11" s="962" t="str">
        <f>Translations!$B$843</f>
        <v>Information about the monitoring plan</v>
      </c>
      <c r="C11" s="959"/>
      <c r="D11" s="959"/>
      <c r="E11" s="959"/>
      <c r="F11" s="959"/>
      <c r="G11" s="3"/>
      <c r="H11" s="3"/>
      <c r="I11" s="3"/>
    </row>
    <row r="12" spans="1:12" x14ac:dyDescent="0.25">
      <c r="A12" s="174">
        <v>5</v>
      </c>
      <c r="B12" s="962" t="str">
        <f>Translations!$B$844</f>
        <v>Total emissions</v>
      </c>
      <c r="C12" s="959"/>
      <c r="D12" s="959"/>
      <c r="E12" s="959"/>
      <c r="F12" s="960"/>
      <c r="G12" s="3"/>
      <c r="H12" s="3"/>
      <c r="I12" s="3"/>
    </row>
    <row r="13" spans="1:12" x14ac:dyDescent="0.25">
      <c r="A13" s="174">
        <v>6</v>
      </c>
      <c r="B13" s="962" t="str">
        <f>Translations!$B$845</f>
        <v>Use of simplified procedures</v>
      </c>
      <c r="C13" s="959"/>
      <c r="D13" s="959"/>
      <c r="E13" s="959"/>
      <c r="F13" s="960"/>
      <c r="G13" s="3"/>
      <c r="H13" s="3"/>
      <c r="I13" s="3"/>
    </row>
    <row r="14" spans="1:12" x14ac:dyDescent="0.25">
      <c r="A14" s="174">
        <v>7</v>
      </c>
      <c r="B14" s="962" t="str">
        <f>Translations!$B$846</f>
        <v>Approach for data gaps</v>
      </c>
      <c r="C14" s="959"/>
      <c r="D14" s="959"/>
      <c r="E14" s="959"/>
      <c r="F14" s="960"/>
      <c r="G14" s="3"/>
      <c r="H14" s="3"/>
      <c r="I14" s="3"/>
    </row>
    <row r="15" spans="1:12" x14ac:dyDescent="0.25">
      <c r="A15" s="174" t="s">
        <v>0</v>
      </c>
      <c r="B15" s="962" t="str">
        <f>Translations!$B$1039</f>
        <v>Detailed emissions data – EU ETS</v>
      </c>
      <c r="C15" s="959"/>
      <c r="D15" s="959"/>
      <c r="E15" s="959"/>
      <c r="F15" s="960"/>
      <c r="G15" s="3"/>
      <c r="H15" s="3"/>
      <c r="I15" s="3"/>
    </row>
    <row r="16" spans="1:12" x14ac:dyDescent="0.25">
      <c r="A16" s="174" t="s">
        <v>1</v>
      </c>
      <c r="B16" s="962" t="str">
        <f>Translations!$B$1245</f>
        <v>Detailed emissions data – CH ETS</v>
      </c>
      <c r="C16" s="959"/>
      <c r="D16" s="959"/>
      <c r="E16" s="959"/>
      <c r="F16" s="960"/>
      <c r="G16" s="3"/>
      <c r="H16" s="3"/>
      <c r="I16" s="3"/>
    </row>
    <row r="17" spans="1:13" x14ac:dyDescent="0.25">
      <c r="A17" s="174">
        <v>9</v>
      </c>
      <c r="B17" s="962" t="str">
        <f>Translations!$B$848</f>
        <v>Aircraft data</v>
      </c>
      <c r="C17" s="959"/>
      <c r="D17" s="959"/>
      <c r="E17" s="959"/>
      <c r="F17" s="960"/>
      <c r="G17" s="3"/>
      <c r="H17" s="3"/>
      <c r="I17" s="3"/>
    </row>
    <row r="18" spans="1:13" x14ac:dyDescent="0.25">
      <c r="A18" s="174">
        <v>10</v>
      </c>
      <c r="B18" s="959" t="str">
        <f>Translations!$B$20</f>
        <v>Member State specific further information</v>
      </c>
      <c r="C18" s="959"/>
      <c r="D18" s="959"/>
      <c r="E18" s="959"/>
      <c r="F18" s="960"/>
      <c r="G18" s="3"/>
      <c r="H18" s="3"/>
      <c r="I18" s="3"/>
    </row>
    <row r="19" spans="1:13" x14ac:dyDescent="0.25">
      <c r="A19" s="174" t="s">
        <v>2</v>
      </c>
      <c r="B19" s="959" t="s">
        <v>3</v>
      </c>
      <c r="C19" s="959"/>
      <c r="D19" s="959"/>
      <c r="E19" s="959"/>
      <c r="F19" s="959"/>
      <c r="G19" s="3"/>
      <c r="H19" s="3"/>
      <c r="I19" s="3"/>
      <c r="L19" s="908" t="s">
        <v>4</v>
      </c>
    </row>
    <row r="20" spans="1:13" x14ac:dyDescent="0.25">
      <c r="A20" s="174" t="s">
        <v>5</v>
      </c>
      <c r="B20" s="959" t="s">
        <v>6</v>
      </c>
      <c r="C20" s="959"/>
      <c r="D20" s="959"/>
      <c r="E20" s="959"/>
      <c r="F20" s="959"/>
      <c r="G20" s="3"/>
      <c r="H20" s="3"/>
      <c r="I20" s="3"/>
      <c r="L20" s="908" t="s">
        <v>4</v>
      </c>
    </row>
    <row r="21" spans="1:13" ht="12.75" customHeight="1" x14ac:dyDescent="0.25">
      <c r="A21" s="174">
        <v>11</v>
      </c>
      <c r="B21" s="959" t="str">
        <f>Translations!$B$1246</f>
        <v>Annex: Emissions per aerodrome pair – EU ETS and CH ETS</v>
      </c>
      <c r="C21" s="959"/>
      <c r="D21" s="959"/>
      <c r="E21" s="959"/>
      <c r="F21" s="960"/>
      <c r="G21" s="3"/>
      <c r="H21" s="3"/>
      <c r="I21" s="3"/>
    </row>
    <row r="22" spans="1:13" ht="12.75" customHeight="1" x14ac:dyDescent="0.25">
      <c r="A22" s="806" t="s">
        <v>7</v>
      </c>
      <c r="B22" s="961" t="str">
        <f>Translations!$B$1328</f>
        <v>2023 Emissions for calculation of free allocation in 2024 and 2025</v>
      </c>
      <c r="C22" s="961"/>
      <c r="D22" s="961"/>
      <c r="E22" s="961"/>
      <c r="F22" s="961"/>
      <c r="G22" s="3"/>
      <c r="H22" s="3"/>
      <c r="I22" s="583"/>
      <c r="L22" s="909" t="s">
        <v>8</v>
      </c>
    </row>
    <row r="23" spans="1:13" x14ac:dyDescent="0.25">
      <c r="A23" s="174">
        <v>12</v>
      </c>
      <c r="B23" s="959" t="str">
        <f>Translations!$B$1041</f>
        <v>CORSIA emissions data</v>
      </c>
      <c r="C23" s="959"/>
      <c r="D23" s="959"/>
      <c r="E23" s="959"/>
      <c r="F23" s="960"/>
      <c r="G23" s="3"/>
      <c r="H23" s="3"/>
      <c r="I23" s="3"/>
    </row>
    <row r="24" spans="1:13" x14ac:dyDescent="0.25">
      <c r="A24" s="174"/>
      <c r="B24" s="20"/>
    </row>
    <row r="25" spans="1:13" ht="13.8" thickBot="1" x14ac:dyDescent="0.3">
      <c r="A25" s="174"/>
    </row>
    <row r="26" spans="1:13" ht="13.8" thickBot="1" x14ac:dyDescent="0.3">
      <c r="B26" s="13" t="str">
        <f>Translations!$B$850</f>
        <v>Reporting year:</v>
      </c>
      <c r="F26" s="179">
        <f>IF(ISBLANK('Identification and description'!I7),"",'Identification and description'!I7)</f>
        <v>2024</v>
      </c>
    </row>
    <row r="27" spans="1:13" ht="5.0999999999999996" customHeight="1" x14ac:dyDescent="0.25"/>
    <row r="28" spans="1:13" ht="13.8" thickBot="1" x14ac:dyDescent="0.3">
      <c r="B28" s="972" t="str">
        <f>Translations!$B$851</f>
        <v>Information about this report:</v>
      </c>
      <c r="C28" s="964"/>
      <c r="D28" s="964"/>
      <c r="E28" s="964"/>
      <c r="F28" s="964"/>
      <c r="G28" s="964"/>
      <c r="H28" s="964"/>
      <c r="I28" s="964"/>
    </row>
    <row r="29" spans="1:13" s="161" customFormat="1" ht="12.75" customHeight="1" x14ac:dyDescent="0.25">
      <c r="B29" s="973" t="str">
        <f>Translations!$B$1033</f>
        <v>This Annual Emissions Report was submitted by:</v>
      </c>
      <c r="C29" s="964"/>
      <c r="D29" s="964"/>
      <c r="E29" s="965"/>
      <c r="F29" s="334" t="str">
        <f>IF(ISBLANK('Identification and description'!I44),"",'Identification and description'!I44)</f>
        <v/>
      </c>
      <c r="G29" s="175"/>
      <c r="H29" s="175"/>
      <c r="I29" s="176"/>
      <c r="L29" s="910"/>
      <c r="M29" s="592"/>
    </row>
    <row r="30" spans="1:13" s="161" customFormat="1" x14ac:dyDescent="0.25">
      <c r="B30" s="964" t="str">
        <f>Translations!$B$23</f>
        <v>Unique Identifier of the aircraft operator (CRCO No.):</v>
      </c>
      <c r="C30" s="964"/>
      <c r="D30" s="964"/>
      <c r="E30" s="965"/>
      <c r="F30" s="335" t="str">
        <f>IF(ISBLANK('Identification and description'!I47),"",'Identification and description'!I47)</f>
        <v/>
      </c>
      <c r="G30" s="177"/>
      <c r="H30" s="177"/>
      <c r="I30" s="178"/>
      <c r="L30" s="910"/>
      <c r="M30" s="592"/>
    </row>
    <row r="31" spans="1:13" s="161" customFormat="1" x14ac:dyDescent="0.25">
      <c r="B31" s="971" t="str">
        <f>Translations!$B$1042</f>
        <v>Version number of this emission report</v>
      </c>
      <c r="C31" s="964"/>
      <c r="D31" s="964"/>
      <c r="E31" s="965"/>
      <c r="F31" s="335" t="str">
        <f>IF(ISBLANK('Identification and description'!K10),"",'Identification and description'!K10)</f>
        <v/>
      </c>
      <c r="G31" s="177"/>
      <c r="H31" s="177"/>
      <c r="I31" s="178"/>
      <c r="L31" s="910"/>
      <c r="M31" s="592"/>
    </row>
    <row r="32" spans="1:13" s="161" customFormat="1" x14ac:dyDescent="0.25">
      <c r="B32" s="971" t="str">
        <f>Translations!$B$899</f>
        <v>Version number of the latest approved monitoring plan:</v>
      </c>
      <c r="C32" s="964"/>
      <c r="D32" s="964"/>
      <c r="E32" s="965"/>
      <c r="F32" s="336" t="str">
        <f>IF(ISBLANK('Emissions overview'!I7),"",'Emissions overview'!I7)</f>
        <v/>
      </c>
      <c r="G32" s="308"/>
      <c r="H32" s="308"/>
      <c r="I32" s="309"/>
      <c r="L32" s="910"/>
      <c r="M32" s="592"/>
    </row>
    <row r="33" spans="2:13" s="161" customFormat="1" ht="13.8" thickBot="1" x14ac:dyDescent="0.3">
      <c r="B33" s="971" t="str">
        <f>Translations!$B$1043</f>
        <v>This emission report is used for CORSIA:</v>
      </c>
      <c r="C33" s="964"/>
      <c r="D33" s="964"/>
      <c r="E33" s="965"/>
      <c r="F33" s="337" t="str">
        <f>IF(ISBLANK('Identification and description'!K30),"",'Identification and description'!K30)</f>
        <v/>
      </c>
      <c r="G33" s="291"/>
      <c r="H33" s="291"/>
      <c r="I33" s="292"/>
      <c r="L33" s="910"/>
      <c r="M33" s="592"/>
    </row>
    <row r="34" spans="2:13" ht="13.8" thickBot="1" x14ac:dyDescent="0.3">
      <c r="H34" s="2"/>
    </row>
    <row r="35" spans="2:13" ht="25.5" customHeight="1" thickBot="1" x14ac:dyDescent="0.3">
      <c r="B35" s="963" t="str">
        <f>Translations!$B$1044</f>
        <v>Total emissions of the aircraft operator from flights reportable under the EU ETS:</v>
      </c>
      <c r="C35" s="964"/>
      <c r="D35" s="964"/>
      <c r="E35" s="964"/>
      <c r="F35" s="965"/>
      <c r="G35" s="966">
        <f>SUM(INDICATOR_ETS_TotalEmissions)</f>
        <v>63522</v>
      </c>
      <c r="H35" s="967"/>
      <c r="I35" s="369" t="s">
        <v>9</v>
      </c>
    </row>
    <row r="36" spans="2:13" ht="25.5" customHeight="1" x14ac:dyDescent="0.25">
      <c r="B36" s="968" t="str">
        <f>Translations!$B$853</f>
        <v xml:space="preserve">This is the amount of allowances to be surrendered by the aircraft operator, as calculated in section 5(c). This figure should only include emissions to be reported under the EU ETS, i.e. relate to the reduced scope. </v>
      </c>
      <c r="C36" s="968"/>
      <c r="D36" s="968"/>
      <c r="E36" s="968"/>
      <c r="F36" s="968"/>
      <c r="G36" s="968"/>
      <c r="H36" s="968"/>
      <c r="I36" s="968"/>
    </row>
    <row r="37" spans="2:13" ht="5.0999999999999996" customHeight="1" x14ac:dyDescent="0.25">
      <c r="B37" s="161"/>
      <c r="C37" s="161"/>
      <c r="D37" s="161"/>
      <c r="E37" s="161"/>
      <c r="F37" s="161"/>
      <c r="G37" s="161"/>
      <c r="H37" s="161"/>
      <c r="I37" s="161"/>
    </row>
    <row r="38" spans="2:13" ht="15.6" x14ac:dyDescent="0.25">
      <c r="B38" s="181" t="s">
        <v>1907</v>
      </c>
      <c r="C38" s="161"/>
      <c r="D38" s="161"/>
      <c r="E38" s="161"/>
      <c r="F38" s="161"/>
      <c r="G38" s="969">
        <f>SUM(INDICATOR_ETS_TotalPrelEF_Emissions)</f>
        <v>63823</v>
      </c>
      <c r="H38" s="970"/>
      <c r="I38" s="182" t="s">
        <v>9</v>
      </c>
      <c r="L38" s="908" t="s">
        <v>11</v>
      </c>
    </row>
    <row r="39" spans="2:13" ht="5.0999999999999996" customHeight="1" x14ac:dyDescent="0.25">
      <c r="B39" s="161"/>
      <c r="C39" s="161"/>
      <c r="D39" s="161"/>
      <c r="E39" s="161"/>
      <c r="F39" s="161"/>
      <c r="G39" s="161"/>
      <c r="H39" s="161"/>
      <c r="I39" s="161"/>
    </row>
    <row r="40" spans="2:13" ht="15.6" x14ac:dyDescent="0.25">
      <c r="B40" s="181" t="s">
        <v>10</v>
      </c>
      <c r="C40" s="161"/>
      <c r="D40" s="161"/>
      <c r="E40" s="161"/>
      <c r="F40" s="161"/>
      <c r="G40" s="969">
        <f>SUM(INDICATOR_ETS_TotalZeroRatedEmissions)</f>
        <v>300</v>
      </c>
      <c r="H40" s="970"/>
      <c r="I40" s="182" t="s">
        <v>9</v>
      </c>
      <c r="L40" s="908" t="s">
        <v>11</v>
      </c>
    </row>
    <row r="41" spans="2:13" ht="5.0999999999999996" customHeight="1" x14ac:dyDescent="0.25">
      <c r="B41" s="161"/>
      <c r="C41" s="161"/>
      <c r="D41" s="161"/>
      <c r="E41" s="161"/>
      <c r="F41" s="161"/>
      <c r="G41" s="161"/>
      <c r="H41" s="161"/>
      <c r="I41" s="161"/>
    </row>
    <row r="42" spans="2:13" ht="15.6" x14ac:dyDescent="0.25">
      <c r="B42" s="181" t="s">
        <v>12</v>
      </c>
      <c r="C42" s="161"/>
      <c r="D42" s="161"/>
      <c r="E42" s="161"/>
      <c r="F42" s="161"/>
      <c r="G42" s="969">
        <f>SUM(INDICATOR_ETS_TotalZeroRatedBioEm)</f>
        <v>284.40000000000003</v>
      </c>
      <c r="H42" s="970"/>
      <c r="I42" s="182" t="s">
        <v>9</v>
      </c>
      <c r="L42" s="908" t="s">
        <v>13</v>
      </c>
    </row>
    <row r="43" spans="2:13" ht="5.0999999999999996" customHeight="1" x14ac:dyDescent="0.25">
      <c r="B43" s="161"/>
      <c r="C43" s="161"/>
      <c r="D43" s="161"/>
      <c r="E43" s="161"/>
      <c r="F43" s="161"/>
      <c r="G43" s="161"/>
      <c r="H43" s="161"/>
      <c r="I43" s="161"/>
    </row>
    <row r="44" spans="2:13" ht="15.6" x14ac:dyDescent="0.25">
      <c r="B44" s="181" t="s">
        <v>14</v>
      </c>
      <c r="C44" s="161"/>
      <c r="D44" s="161"/>
      <c r="E44" s="161"/>
      <c r="F44" s="161"/>
      <c r="G44" s="969">
        <f>SUM(INDICATOR_ETS_TotalNonZeroRatedBioEm)</f>
        <v>6.32</v>
      </c>
      <c r="H44" s="970"/>
      <c r="I44" s="182" t="s">
        <v>9</v>
      </c>
      <c r="L44" s="908" t="s">
        <v>13</v>
      </c>
    </row>
    <row r="45" spans="2:13" ht="5.0999999999999996" customHeight="1" x14ac:dyDescent="0.25">
      <c r="B45" s="161"/>
      <c r="C45" s="161"/>
      <c r="D45" s="161"/>
      <c r="E45" s="161"/>
      <c r="F45" s="161"/>
      <c r="G45" s="161"/>
      <c r="H45" s="161"/>
      <c r="I45" s="161"/>
    </row>
    <row r="46" spans="2:13" ht="15.6" x14ac:dyDescent="0.25">
      <c r="B46" s="181" t="s">
        <v>15</v>
      </c>
      <c r="C46" s="161"/>
      <c r="D46" s="161"/>
      <c r="E46" s="161"/>
      <c r="F46" s="161"/>
      <c r="G46" s="969">
        <f>SUM(INDICATOR_ETS_TotalZeroRatedRFNBO)</f>
        <v>15.8</v>
      </c>
      <c r="H46" s="970"/>
      <c r="I46" s="182" t="s">
        <v>9</v>
      </c>
      <c r="L46" s="908" t="s">
        <v>11</v>
      </c>
    </row>
    <row r="47" spans="2:13" ht="5.0999999999999996" customHeight="1" x14ac:dyDescent="0.25">
      <c r="B47" s="161"/>
      <c r="C47" s="161"/>
      <c r="D47" s="161"/>
      <c r="E47" s="161"/>
      <c r="F47" s="161"/>
      <c r="G47" s="161"/>
      <c r="H47" s="161"/>
      <c r="I47" s="161"/>
    </row>
    <row r="48" spans="2:13" ht="15.6" x14ac:dyDescent="0.25">
      <c r="B48" s="181" t="s">
        <v>16</v>
      </c>
      <c r="C48" s="161"/>
      <c r="D48" s="161"/>
      <c r="E48" s="161"/>
      <c r="F48" s="161"/>
      <c r="G48" s="969">
        <f>SUM(INDICATOR_ETS_TotalNonZeroRatedRFNBO)</f>
        <v>0</v>
      </c>
      <c r="H48" s="970"/>
      <c r="I48" s="182" t="s">
        <v>9</v>
      </c>
      <c r="L48" s="908" t="s">
        <v>11</v>
      </c>
    </row>
    <row r="49" spans="1:12" ht="5.0999999999999996" customHeight="1" x14ac:dyDescent="0.25">
      <c r="B49" s="161"/>
      <c r="C49" s="161"/>
      <c r="D49" s="161"/>
      <c r="E49" s="161"/>
      <c r="F49" s="161"/>
      <c r="G49" s="161"/>
      <c r="H49" s="161"/>
      <c r="I49" s="161"/>
    </row>
    <row r="50" spans="1:12" ht="15.6" x14ac:dyDescent="0.25">
      <c r="B50" s="181" t="s">
        <v>17</v>
      </c>
      <c r="C50" s="161"/>
      <c r="D50" s="161"/>
      <c r="E50" s="161"/>
      <c r="F50" s="161"/>
      <c r="G50" s="969">
        <f>SUM(INDICATOR_ETS_TotalZeroRatedSLCF)</f>
        <v>0</v>
      </c>
      <c r="H50" s="970"/>
      <c r="I50" s="182" t="s">
        <v>9</v>
      </c>
      <c r="L50" s="908" t="s">
        <v>11</v>
      </c>
    </row>
    <row r="51" spans="1:12" ht="5.0999999999999996" customHeight="1" x14ac:dyDescent="0.25">
      <c r="B51" s="161"/>
      <c r="C51" s="161"/>
      <c r="D51" s="161"/>
      <c r="E51" s="161"/>
      <c r="F51" s="161"/>
      <c r="G51" s="161"/>
      <c r="H51" s="161"/>
      <c r="I51" s="161"/>
    </row>
    <row r="52" spans="1:12" ht="15.6" x14ac:dyDescent="0.25">
      <c r="B52" s="181" t="s">
        <v>18</v>
      </c>
      <c r="C52" s="161"/>
      <c r="D52" s="161"/>
      <c r="E52" s="161"/>
      <c r="F52" s="161"/>
      <c r="G52" s="969">
        <f>SUM(INDICATOR_ETS_TotalNonZeroRatedSLCF)</f>
        <v>0</v>
      </c>
      <c r="H52" s="970"/>
      <c r="I52" s="182" t="s">
        <v>9</v>
      </c>
      <c r="L52" s="908" t="s">
        <v>11</v>
      </c>
    </row>
    <row r="53" spans="1:12" x14ac:dyDescent="0.25">
      <c r="H53" s="2"/>
    </row>
    <row r="54" spans="1:12" ht="5.0999999999999996" customHeight="1" thickBot="1" x14ac:dyDescent="0.3">
      <c r="A54" s="479"/>
      <c r="B54" s="479"/>
      <c r="C54" s="479"/>
      <c r="D54" s="479"/>
      <c r="E54" s="479"/>
      <c r="F54" s="479"/>
      <c r="G54" s="479"/>
      <c r="H54" s="480"/>
      <c r="I54" s="479"/>
      <c r="J54" s="479"/>
    </row>
    <row r="55" spans="1:12" ht="25.5" customHeight="1" thickBot="1" x14ac:dyDescent="0.3">
      <c r="A55" s="479"/>
      <c r="B55" s="963" t="str">
        <f>Translations!$B$1247</f>
        <v>Total emissions of the aircraft operator from flights reportable under the CH ETS (Swiss ETS):</v>
      </c>
      <c r="C55" s="964"/>
      <c r="D55" s="964"/>
      <c r="E55" s="964"/>
      <c r="F55" s="965"/>
      <c r="G55" s="966">
        <f>SUM(INDICATOR_CHETS_TotalEmissions)</f>
        <v>0</v>
      </c>
      <c r="H55" s="967"/>
      <c r="I55" s="369" t="s">
        <v>9</v>
      </c>
      <c r="J55" s="479"/>
    </row>
    <row r="56" spans="1:12" ht="12.75" customHeight="1" x14ac:dyDescent="0.25">
      <c r="A56" s="479"/>
      <c r="B56" s="968" t="str">
        <f>Translations!$B$1248</f>
        <v>This is the amount of allowances to be surrendered by the aircraft operator for compliance under the CH ETS, as calculated in section 5(d).</v>
      </c>
      <c r="C56" s="968"/>
      <c r="D56" s="968"/>
      <c r="E56" s="968"/>
      <c r="F56" s="968"/>
      <c r="G56" s="968"/>
      <c r="H56" s="968"/>
      <c r="I56" s="968"/>
      <c r="J56" s="479"/>
    </row>
    <row r="57" spans="1:12" ht="5.0999999999999996" customHeight="1" x14ac:dyDescent="0.25">
      <c r="A57" s="479"/>
      <c r="B57" s="161"/>
      <c r="C57" s="161"/>
      <c r="D57" s="161"/>
      <c r="E57" s="161"/>
      <c r="F57" s="161"/>
      <c r="G57" s="161"/>
      <c r="H57" s="161"/>
      <c r="I57" s="161"/>
      <c r="J57" s="479"/>
    </row>
    <row r="58" spans="1:12" ht="15.6" x14ac:dyDescent="0.25">
      <c r="A58" s="479"/>
      <c r="B58" s="181" t="s">
        <v>1907</v>
      </c>
      <c r="C58" s="161"/>
      <c r="D58" s="161"/>
      <c r="E58" s="161"/>
      <c r="F58" s="161"/>
      <c r="G58" s="969">
        <f>SUM(INDICATOR_CHETS_TotalPrelEF_Emissions)</f>
        <v>0</v>
      </c>
      <c r="H58" s="970"/>
      <c r="I58" s="182" t="s">
        <v>9</v>
      </c>
      <c r="J58" s="479"/>
      <c r="L58" s="908" t="s">
        <v>11</v>
      </c>
    </row>
    <row r="59" spans="1:12" ht="5.0999999999999996" customHeight="1" x14ac:dyDescent="0.25">
      <c r="A59" s="479"/>
      <c r="B59" s="161"/>
      <c r="C59" s="161"/>
      <c r="D59" s="161"/>
      <c r="E59" s="161"/>
      <c r="F59" s="161"/>
      <c r="G59" s="161"/>
      <c r="H59" s="161"/>
      <c r="I59" s="161"/>
      <c r="J59" s="479"/>
    </row>
    <row r="60" spans="1:12" ht="15.6" x14ac:dyDescent="0.25">
      <c r="A60" s="479"/>
      <c r="B60" s="181" t="s">
        <v>10</v>
      </c>
      <c r="C60" s="161"/>
      <c r="D60" s="161"/>
      <c r="E60" s="161"/>
      <c r="F60" s="161"/>
      <c r="G60" s="969">
        <f>SUM(INDICATOR_CHETS_TotalZeroRatedEmissions)</f>
        <v>0</v>
      </c>
      <c r="H60" s="970"/>
      <c r="I60" s="182" t="s">
        <v>9</v>
      </c>
      <c r="J60" s="479"/>
      <c r="L60" s="908" t="s">
        <v>11</v>
      </c>
    </row>
    <row r="61" spans="1:12" ht="5.0999999999999996" customHeight="1" x14ac:dyDescent="0.25">
      <c r="A61" s="479"/>
      <c r="B61" s="161"/>
      <c r="C61" s="161"/>
      <c r="D61" s="161"/>
      <c r="E61" s="161"/>
      <c r="F61" s="161"/>
      <c r="G61" s="161"/>
      <c r="H61" s="161"/>
      <c r="I61" s="161"/>
      <c r="J61" s="479"/>
    </row>
    <row r="62" spans="1:12" ht="15.6" x14ac:dyDescent="0.25">
      <c r="A62" s="479"/>
      <c r="B62" s="181" t="s">
        <v>12</v>
      </c>
      <c r="C62" s="161"/>
      <c r="D62" s="161"/>
      <c r="E62" s="161"/>
      <c r="F62" s="161"/>
      <c r="G62" s="969">
        <f>SUM(INDICATOR_CHETS_TotalZeroRatedBioEm)</f>
        <v>0</v>
      </c>
      <c r="H62" s="970"/>
      <c r="I62" s="182" t="s">
        <v>9</v>
      </c>
      <c r="J62" s="479"/>
      <c r="L62" s="908" t="s">
        <v>13</v>
      </c>
    </row>
    <row r="63" spans="1:12" ht="5.0999999999999996" customHeight="1" x14ac:dyDescent="0.25">
      <c r="A63" s="479"/>
      <c r="B63" s="161"/>
      <c r="C63" s="161"/>
      <c r="D63" s="161"/>
      <c r="E63" s="161"/>
      <c r="F63" s="161"/>
      <c r="G63" s="161"/>
      <c r="H63" s="161"/>
      <c r="I63" s="161"/>
      <c r="J63" s="479"/>
    </row>
    <row r="64" spans="1:12" ht="15.6" x14ac:dyDescent="0.25">
      <c r="A64" s="479"/>
      <c r="B64" s="181" t="s">
        <v>14</v>
      </c>
      <c r="C64" s="161"/>
      <c r="D64" s="161"/>
      <c r="E64" s="161"/>
      <c r="F64" s="161"/>
      <c r="G64" s="969">
        <f>SUM(INDICATOR_CHETS_TotalNonZeroRatedBioEm)</f>
        <v>0</v>
      </c>
      <c r="H64" s="970"/>
      <c r="I64" s="182" t="s">
        <v>9</v>
      </c>
      <c r="J64" s="479"/>
      <c r="L64" s="908" t="s">
        <v>13</v>
      </c>
    </row>
    <row r="65" spans="1:12" ht="5.0999999999999996" customHeight="1" x14ac:dyDescent="0.25">
      <c r="A65" s="479"/>
      <c r="B65" s="161"/>
      <c r="C65" s="161"/>
      <c r="D65" s="161"/>
      <c r="E65" s="161"/>
      <c r="F65" s="161"/>
      <c r="G65" s="161"/>
      <c r="H65" s="161"/>
      <c r="I65" s="161"/>
      <c r="J65" s="479"/>
    </row>
    <row r="66" spans="1:12" ht="15.6" x14ac:dyDescent="0.25">
      <c r="A66" s="479"/>
      <c r="B66" s="181" t="s">
        <v>15</v>
      </c>
      <c r="C66" s="161"/>
      <c r="D66" s="161"/>
      <c r="E66" s="161"/>
      <c r="F66" s="161"/>
      <c r="G66" s="969">
        <f>SUM(INDICATOR_CHETS_TotalZeroRatedRFNBO)</f>
        <v>0</v>
      </c>
      <c r="H66" s="970"/>
      <c r="I66" s="182" t="s">
        <v>9</v>
      </c>
      <c r="J66" s="479"/>
      <c r="L66" s="908" t="s">
        <v>11</v>
      </c>
    </row>
    <row r="67" spans="1:12" ht="5.0999999999999996" customHeight="1" x14ac:dyDescent="0.25">
      <c r="A67" s="479"/>
      <c r="B67" s="161"/>
      <c r="C67" s="161"/>
      <c r="D67" s="161"/>
      <c r="E67" s="161"/>
      <c r="F67" s="161"/>
      <c r="G67" s="161"/>
      <c r="H67" s="161"/>
      <c r="I67" s="161"/>
      <c r="J67" s="479"/>
    </row>
    <row r="68" spans="1:12" ht="15.6" x14ac:dyDescent="0.25">
      <c r="A68" s="479"/>
      <c r="B68" s="181" t="s">
        <v>16</v>
      </c>
      <c r="C68" s="161"/>
      <c r="D68" s="161"/>
      <c r="E68" s="161"/>
      <c r="F68" s="161"/>
      <c r="G68" s="969">
        <f>SUM(INDICATOR_CHETS_TotalNonZeroRatedRFNBO)</f>
        <v>0</v>
      </c>
      <c r="H68" s="970"/>
      <c r="I68" s="182" t="s">
        <v>9</v>
      </c>
      <c r="J68" s="479"/>
      <c r="L68" s="908" t="s">
        <v>11</v>
      </c>
    </row>
    <row r="69" spans="1:12" ht="5.0999999999999996" customHeight="1" x14ac:dyDescent="0.25">
      <c r="A69" s="479"/>
      <c r="B69" s="161"/>
      <c r="C69" s="161"/>
      <c r="D69" s="161"/>
      <c r="E69" s="161"/>
      <c r="F69" s="161"/>
      <c r="G69" s="161"/>
      <c r="H69" s="161"/>
      <c r="I69" s="161"/>
      <c r="J69" s="479"/>
    </row>
    <row r="70" spans="1:12" ht="15.6" x14ac:dyDescent="0.25">
      <c r="A70" s="479"/>
      <c r="B70" s="181" t="s">
        <v>17</v>
      </c>
      <c r="C70" s="161"/>
      <c r="D70" s="161"/>
      <c r="E70" s="161"/>
      <c r="F70" s="161"/>
      <c r="G70" s="969">
        <f>SUM(INDICATOR_CHETS_TotalZeroRatedSLCF)</f>
        <v>0</v>
      </c>
      <c r="H70" s="970"/>
      <c r="I70" s="182" t="s">
        <v>9</v>
      </c>
      <c r="J70" s="479"/>
      <c r="L70" s="908" t="s">
        <v>11</v>
      </c>
    </row>
    <row r="71" spans="1:12" ht="5.0999999999999996" customHeight="1" x14ac:dyDescent="0.25">
      <c r="A71" s="479"/>
      <c r="B71" s="161"/>
      <c r="C71" s="161"/>
      <c r="D71" s="161"/>
      <c r="E71" s="161"/>
      <c r="F71" s="161"/>
      <c r="G71" s="161"/>
      <c r="H71" s="161"/>
      <c r="I71" s="161"/>
      <c r="J71" s="479"/>
    </row>
    <row r="72" spans="1:12" ht="15.6" x14ac:dyDescent="0.25">
      <c r="A72" s="479"/>
      <c r="B72" s="181" t="s">
        <v>18</v>
      </c>
      <c r="C72" s="161"/>
      <c r="D72" s="161"/>
      <c r="E72" s="161"/>
      <c r="F72" s="161"/>
      <c r="G72" s="969">
        <f>SUM(INDICATOR_CHETS_TotalNonZeroRatedSLCF)</f>
        <v>0</v>
      </c>
      <c r="H72" s="970"/>
      <c r="I72" s="182" t="s">
        <v>9</v>
      </c>
      <c r="J72" s="479"/>
      <c r="L72" s="908" t="s">
        <v>11</v>
      </c>
    </row>
    <row r="73" spans="1:12" ht="5.0999999999999996" customHeight="1" x14ac:dyDescent="0.25">
      <c r="A73" s="479"/>
      <c r="B73" s="479"/>
      <c r="C73" s="479"/>
      <c r="D73" s="479"/>
      <c r="E73" s="479"/>
      <c r="F73" s="479"/>
      <c r="G73" s="479"/>
      <c r="H73" s="480"/>
      <c r="I73" s="479"/>
      <c r="J73" s="479"/>
    </row>
    <row r="74" spans="1:12" x14ac:dyDescent="0.25">
      <c r="H74" s="2"/>
    </row>
    <row r="75" spans="1:12" ht="5.0999999999999996" customHeight="1" x14ac:dyDescent="0.25">
      <c r="A75" s="293"/>
      <c r="B75" s="293"/>
      <c r="C75" s="293"/>
      <c r="D75" s="293"/>
      <c r="E75" s="293"/>
      <c r="F75" s="293"/>
      <c r="G75" s="293"/>
      <c r="H75" s="294"/>
      <c r="I75" s="293"/>
      <c r="J75" s="293"/>
    </row>
    <row r="76" spans="1:12" x14ac:dyDescent="0.25">
      <c r="A76" s="293"/>
      <c r="B76" s="180" t="str">
        <f>Translations!$B$1045</f>
        <v>Emissions of the aircraft operator from international flights covered by CORSIA:</v>
      </c>
      <c r="H76" s="2"/>
      <c r="J76" s="293"/>
    </row>
    <row r="77" spans="1:12" ht="5.0999999999999996" customHeight="1" x14ac:dyDescent="0.25">
      <c r="A77" s="293"/>
      <c r="H77" s="2"/>
      <c r="J77" s="293"/>
    </row>
    <row r="78" spans="1:12" ht="15.6" x14ac:dyDescent="0.25">
      <c r="A78" s="293"/>
      <c r="B78" s="978" t="str">
        <f>Translations!$B$1046</f>
        <v>Total emissions from international flights:</v>
      </c>
      <c r="C78" s="964"/>
      <c r="D78" s="964"/>
      <c r="E78" s="964"/>
      <c r="F78" s="979"/>
      <c r="G78" s="976" t="str">
        <f>IF(INDICATOR_CORSIA_totalCO2="","",ROUND(INDICATOR_CORSIA_totalCO2,0))</f>
        <v/>
      </c>
      <c r="H78" s="977"/>
      <c r="I78" s="182" t="s">
        <v>9</v>
      </c>
      <c r="J78" s="293"/>
    </row>
    <row r="79" spans="1:12" ht="5.0999999999999996" customHeight="1" x14ac:dyDescent="0.25">
      <c r="A79" s="293"/>
      <c r="G79" s="161"/>
      <c r="H79" s="161"/>
      <c r="I79" s="161"/>
      <c r="J79" s="293"/>
    </row>
    <row r="80" spans="1:12" ht="15.6" x14ac:dyDescent="0.25">
      <c r="A80" s="293"/>
      <c r="B80" s="978" t="str">
        <f>Translations!$B$1047</f>
        <v>Total emissions from flights subject to offsetting requirements:</v>
      </c>
      <c r="C80" s="964"/>
      <c r="D80" s="964"/>
      <c r="E80" s="964"/>
      <c r="F80" s="979"/>
      <c r="G80" s="976" t="str">
        <f>IF(INDICATOR_CORSIA_totalCO2withOffsetting="","",ROUND(INDICATOR_CORSIA_totalCO2withOffsetting,0))</f>
        <v/>
      </c>
      <c r="H80" s="977"/>
      <c r="I80" s="299" t="s">
        <v>9</v>
      </c>
      <c r="J80" s="293"/>
      <c r="L80" s="908" t="s">
        <v>19</v>
      </c>
    </row>
    <row r="81" spans="1:12" ht="5.0999999999999996" customHeight="1" x14ac:dyDescent="0.25">
      <c r="A81" s="293"/>
      <c r="H81" s="2"/>
      <c r="J81" s="293"/>
    </row>
    <row r="82" spans="1:12" ht="15.6" x14ac:dyDescent="0.25">
      <c r="A82" s="293"/>
      <c r="B82" s="978" t="s">
        <v>20</v>
      </c>
      <c r="C82" s="964"/>
      <c r="D82" s="964"/>
      <c r="E82" s="964"/>
      <c r="F82" s="964"/>
      <c r="G82" s="976" t="str">
        <f>IF(INDICATOR_CORSIA_totalTonnesEligibleFuelsClaimed="","",ROUND(INDICATOR_CORSIA_totalTonnesEligibleFuelsClaimed,0))</f>
        <v/>
      </c>
      <c r="H82" s="977"/>
      <c r="I82" s="182" t="s">
        <v>9</v>
      </c>
      <c r="J82" s="293"/>
      <c r="L82" s="908" t="s">
        <v>19</v>
      </c>
    </row>
    <row r="83" spans="1:12" ht="5.0999999999999996" customHeight="1" x14ac:dyDescent="0.25">
      <c r="A83" s="293"/>
      <c r="H83" s="2"/>
      <c r="J83" s="293"/>
    </row>
    <row r="84" spans="1:12" ht="5.0999999999999996" customHeight="1" x14ac:dyDescent="0.25">
      <c r="A84" s="293"/>
      <c r="B84" s="293"/>
      <c r="C84" s="293"/>
      <c r="D84" s="293"/>
      <c r="E84" s="293"/>
      <c r="F84" s="293"/>
      <c r="G84" s="293"/>
      <c r="H84" s="294"/>
      <c r="I84" s="293"/>
      <c r="J84" s="293"/>
    </row>
    <row r="85" spans="1:12" x14ac:dyDescent="0.25">
      <c r="B85" s="19"/>
      <c r="C85" s="19"/>
      <c r="D85" s="19"/>
      <c r="E85" s="19"/>
      <c r="F85" s="19"/>
      <c r="G85" s="19"/>
    </row>
    <row r="86" spans="1:12" ht="25.5" customHeight="1" x14ac:dyDescent="0.25">
      <c r="B86" s="963" t="str">
        <f>Translations!$B$25</f>
        <v>If your competent authority requires you to hand in a signed paper copy of the monitoring plan, please use the space below for signature:</v>
      </c>
      <c r="C86" s="963"/>
      <c r="D86" s="963"/>
      <c r="E86" s="963"/>
      <c r="F86" s="963"/>
      <c r="G86" s="963"/>
      <c r="H86" s="963"/>
      <c r="I86" s="963"/>
    </row>
    <row r="87" spans="1:12" x14ac:dyDescent="0.25">
      <c r="B87" s="19"/>
      <c r="C87" s="19"/>
      <c r="D87" s="19"/>
      <c r="E87" s="19"/>
      <c r="F87" s="19"/>
      <c r="G87" s="19"/>
    </row>
    <row r="93" spans="1:12" ht="13.8" thickBot="1" x14ac:dyDescent="0.3">
      <c r="F93" s="183"/>
      <c r="G93" s="183"/>
    </row>
    <row r="94" spans="1:12" x14ac:dyDescent="0.25">
      <c r="B94" s="986" t="str">
        <f>Translations!$B$26</f>
        <v>Date</v>
      </c>
      <c r="C94" s="986"/>
      <c r="D94" s="986"/>
      <c r="F94" s="984" t="str">
        <f>Translations!$B$27</f>
        <v>Name and Signature of 
legally responsible person</v>
      </c>
      <c r="G94" s="984"/>
      <c r="H94" s="984"/>
      <c r="I94" s="984"/>
    </row>
    <row r="95" spans="1:12" x14ac:dyDescent="0.25">
      <c r="F95" s="985"/>
      <c r="G95" s="985"/>
      <c r="H95" s="985"/>
      <c r="I95" s="985"/>
    </row>
    <row r="99" spans="1:9" ht="13.8" thickBot="1" x14ac:dyDescent="0.3">
      <c r="A99" s="174"/>
      <c r="B99" s="972" t="str">
        <f>Translations!$B$28</f>
        <v>Template version information:</v>
      </c>
      <c r="C99" s="964"/>
      <c r="D99" s="964"/>
      <c r="E99" s="964"/>
      <c r="F99" s="964"/>
      <c r="G99" s="964"/>
      <c r="H99" s="964"/>
      <c r="I99" s="964"/>
    </row>
    <row r="100" spans="1:9" ht="12.75" customHeight="1" x14ac:dyDescent="0.25">
      <c r="B100" s="184" t="str">
        <f>Translations!$B$29</f>
        <v>Template provided by:</v>
      </c>
      <c r="C100" s="185"/>
      <c r="D100" s="296"/>
      <c r="E100" s="980" t="str">
        <f>VersionDocumentation!B4</f>
        <v>European Commission</v>
      </c>
      <c r="F100" s="980"/>
      <c r="G100" s="980"/>
      <c r="H100" s="981"/>
    </row>
    <row r="101" spans="1:9" x14ac:dyDescent="0.25">
      <c r="B101" s="186" t="str">
        <f>Translations!$B$30</f>
        <v>Publication date:</v>
      </c>
      <c r="C101" s="187"/>
      <c r="D101" s="297"/>
      <c r="E101" s="987">
        <f>VersionDocumentation!B3</f>
        <v>45679</v>
      </c>
      <c r="F101" s="982"/>
      <c r="G101" s="982"/>
      <c r="H101" s="983"/>
    </row>
    <row r="102" spans="1:9" x14ac:dyDescent="0.25">
      <c r="B102" s="186" t="str">
        <f>Translations!$B$31</f>
        <v>Language version:</v>
      </c>
      <c r="C102" s="188"/>
      <c r="D102" s="297"/>
      <c r="E102" s="982" t="str">
        <f>VersionDocumentation!B5</f>
        <v>English</v>
      </c>
      <c r="F102" s="982"/>
      <c r="G102" s="982"/>
      <c r="H102" s="983"/>
    </row>
    <row r="103" spans="1:9" ht="13.8" thickBot="1" x14ac:dyDescent="0.3">
      <c r="B103" s="189" t="str">
        <f>Translations!$B$32</f>
        <v>Reference filename:</v>
      </c>
      <c r="C103" s="190"/>
      <c r="D103" s="298"/>
      <c r="E103" s="974" t="str">
        <f>VersionDocumentation!C3</f>
        <v>AER AO 2024_COM_en_220125.xls</v>
      </c>
      <c r="F103" s="974"/>
      <c r="G103" s="974"/>
      <c r="H103" s="975"/>
    </row>
  </sheetData>
  <sheetProtection sheet="1" objects="1" scenarios="1" formatCells="0" formatColumns="0" formatRows="0" insertColumns="0" insertRows="0"/>
  <mergeCells count="62">
    <mergeCell ref="G58:H58"/>
    <mergeCell ref="G70:H70"/>
    <mergeCell ref="G72:H72"/>
    <mergeCell ref="G60:H60"/>
    <mergeCell ref="G62:H62"/>
    <mergeCell ref="G64:H64"/>
    <mergeCell ref="G66:H66"/>
    <mergeCell ref="G68:H68"/>
    <mergeCell ref="B9:F9"/>
    <mergeCell ref="B10:F10"/>
    <mergeCell ref="B11:F11"/>
    <mergeCell ref="B12:F12"/>
    <mergeCell ref="B2:I2"/>
    <mergeCell ref="B6:I6"/>
    <mergeCell ref="B3:I3"/>
    <mergeCell ref="B7:F7"/>
    <mergeCell ref="B8:F8"/>
    <mergeCell ref="E103:H103"/>
    <mergeCell ref="G80:H80"/>
    <mergeCell ref="B78:F78"/>
    <mergeCell ref="B80:F80"/>
    <mergeCell ref="B82:F82"/>
    <mergeCell ref="G82:H82"/>
    <mergeCell ref="E100:H100"/>
    <mergeCell ref="E102:H102"/>
    <mergeCell ref="F94:I95"/>
    <mergeCell ref="B94:D94"/>
    <mergeCell ref="B86:I86"/>
    <mergeCell ref="G78:H78"/>
    <mergeCell ref="E101:H101"/>
    <mergeCell ref="B99:I99"/>
    <mergeCell ref="B30:E30"/>
    <mergeCell ref="B32:E32"/>
    <mergeCell ref="B28:I28"/>
    <mergeCell ref="G35:H35"/>
    <mergeCell ref="B29:E29"/>
    <mergeCell ref="B31:E31"/>
    <mergeCell ref="B33:E33"/>
    <mergeCell ref="B55:F55"/>
    <mergeCell ref="G55:H55"/>
    <mergeCell ref="B56:I56"/>
    <mergeCell ref="B35:F35"/>
    <mergeCell ref="G44:H44"/>
    <mergeCell ref="B36:I36"/>
    <mergeCell ref="G46:H46"/>
    <mergeCell ref="G48:H48"/>
    <mergeCell ref="G50:H50"/>
    <mergeCell ref="G52:H52"/>
    <mergeCell ref="G40:H40"/>
    <mergeCell ref="G42:H42"/>
    <mergeCell ref="G38:H38"/>
    <mergeCell ref="B18:F18"/>
    <mergeCell ref="B21:F21"/>
    <mergeCell ref="B22:F22"/>
    <mergeCell ref="B23:F23"/>
    <mergeCell ref="B13:F13"/>
    <mergeCell ref="B14:F14"/>
    <mergeCell ref="B15:F15"/>
    <mergeCell ref="B16:F16"/>
    <mergeCell ref="B17:F17"/>
    <mergeCell ref="B19:F19"/>
    <mergeCell ref="B20:F20"/>
  </mergeCells>
  <phoneticPr fontId="12" type="noConversion"/>
  <hyperlinks>
    <hyperlink ref="B7" location="'Guidelines and conditions'!A1" display="Guidelines and conditions" xr:uid="{00000000-0004-0000-0000-000000000000}"/>
    <hyperlink ref="B9" location="'Identification and description'!H6" display="Identification of the aircraft operator" xr:uid="{00000000-0004-0000-0000-000001000000}"/>
    <hyperlink ref="B10" location="'Identification and description'!H145" display="Contact details" xr:uid="{00000000-0004-0000-0000-000002000000}"/>
    <hyperlink ref="B10:C10" location="'Identification and description'!A1" display="Contact details" xr:uid="{00000000-0004-0000-0000-000003000000}"/>
    <hyperlink ref="B9:C9" location="'Identification and description'!A1" display="Identification of the aircraft operator" xr:uid="{00000000-0004-0000-0000-000004000000}"/>
    <hyperlink ref="B8" location="'Identification and description'!H6" display="Identification of the aircraft operator" xr:uid="{00000000-0004-0000-0000-000005000000}"/>
    <hyperlink ref="B8:C8" location="'Identification and description'!A1" display="Identification of the aircraft operator" xr:uid="{00000000-0004-0000-0000-000006000000}"/>
    <hyperlink ref="B10:E10" location="JUMP_3" display="JUMP_3" xr:uid="{00000000-0004-0000-0000-000007000000}"/>
    <hyperlink ref="B11:E11" location="'Emissions overview'!A1" display="Information about the monitoring plan" xr:uid="{00000000-0004-0000-0000-000008000000}"/>
    <hyperlink ref="B12:E12" location="JUMP_5" display="JUMP_5" xr:uid="{00000000-0004-0000-0000-000009000000}"/>
    <hyperlink ref="B13:E13" location="JUMP_6" display="JUMP_6" xr:uid="{00000000-0004-0000-0000-00000A000000}"/>
    <hyperlink ref="B14:E14" location="JUMP_7" display="JUMP_7" xr:uid="{00000000-0004-0000-0000-00000B000000}"/>
    <hyperlink ref="B15:E15" location="'Emissions Data'!A1" display="Detailed emissions data" xr:uid="{00000000-0004-0000-0000-00000C000000}"/>
    <hyperlink ref="B17:E17" location="'Aircraft Data'!A1" display="Aircraft data" xr:uid="{00000000-0004-0000-0000-00000D000000}"/>
    <hyperlink ref="B18:E18" location="'MS specific content'!A1" display="Member State specific further information" xr:uid="{00000000-0004-0000-0000-00000E000000}"/>
    <hyperlink ref="B21:E21" location="Annex!A1" display="Annex: Emissions per airodrome pair" xr:uid="{00000000-0004-0000-0000-00000F000000}"/>
    <hyperlink ref="B23:E23" location="'CORSIA emissions'!A1" display="CORSIA emissions data" xr:uid="{00000000-0004-0000-0000-000010000000}"/>
    <hyperlink ref="B9:E9" location="JUMP_2" display="JUMP_2" xr:uid="{00000000-0004-0000-0000-000011000000}"/>
    <hyperlink ref="B16:E16" location="Jump_8b" display="Detailed emissions data – CH ETS" xr:uid="{00000000-0004-0000-0000-000012000000}"/>
    <hyperlink ref="B22:F22" location="Annex_2023!A1" display="2023 Emissions for calculation of free allocation in 2024 and 2025" xr:uid="{00000000-0004-0000-0000-000013000000}"/>
    <hyperlink ref="B19:F19" location="'Annex Aerodromes'!B2" display="Proportional fuel attribution at airports" xr:uid="{00000000-0004-0000-0000-000014000000}"/>
    <hyperlink ref="B20:F20" location="'FEETS Application'!B2" display="Support under Article 3c(6) of the EU ETS Directive" xr:uid="{00000000-0004-0000-0000-000015000000}"/>
    <hyperlink ref="B8:F8" location="'Identification and description'!B2" display="'Identification and description'!B2" xr:uid="{00000000-0004-0000-0000-000016000000}"/>
    <hyperlink ref="B11:F11" location="'Emissions overview'!B2" display="'Emissions overview'!B2" xr:uid="{00000000-0004-0000-0000-000017000000}"/>
  </hyperlinks>
  <pageMargins left="0.78740157480314965" right="0.78740157480314965" top="0.78740157480314965" bottom="0.78740157480314965" header="0.39370078740157483" footer="0.39370078740157483"/>
  <pageSetup paperSize="9" scale="72" orientation="portrait" r:id="rId1"/>
  <headerFooter alignWithMargins="0">
    <oddFooter>&amp;L&amp;F&amp;C&amp;A&amp;R&amp;P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
    <pageSetUpPr fitToPage="1"/>
  </sheetPr>
  <dimension ref="A1:L118"/>
  <sheetViews>
    <sheetView showGridLines="0" zoomScale="115" zoomScaleNormal="115" workbookViewId="0">
      <selection activeCell="D48" sqref="D48"/>
    </sheetView>
  </sheetViews>
  <sheetFormatPr defaultColWidth="11.44140625" defaultRowHeight="13.2" x14ac:dyDescent="0.25"/>
  <cols>
    <col min="1" max="1" width="4" style="56" customWidth="1"/>
    <col min="2" max="2" width="4.5546875" style="56" customWidth="1"/>
    <col min="3" max="8" width="17.5546875" style="56" customWidth="1"/>
    <col min="9" max="10" width="4" style="56" customWidth="1"/>
    <col min="11" max="11" width="11.44140625" style="312"/>
    <col min="12" max="16384" width="11.44140625" style="56"/>
  </cols>
  <sheetData>
    <row r="1" spans="1:12" x14ac:dyDescent="0.25">
      <c r="B1" s="106"/>
      <c r="E1" s="115"/>
      <c r="F1" s="115"/>
      <c r="G1" s="115"/>
    </row>
    <row r="2" spans="1:12" ht="22.5" customHeight="1" x14ac:dyDescent="0.25">
      <c r="B2" s="1068" t="str">
        <f>Translations!$B$1246</f>
        <v>Annex: Emissions per aerodrome pair – EU ETS and CH ETS</v>
      </c>
      <c r="C2" s="1068"/>
      <c r="D2" s="1068"/>
      <c r="E2" s="1068"/>
      <c r="F2" s="1068"/>
      <c r="G2" s="1068"/>
      <c r="H2" s="1068"/>
    </row>
    <row r="3" spans="1:12" x14ac:dyDescent="0.25">
      <c r="B3" s="106"/>
      <c r="E3" s="115"/>
      <c r="F3" s="115"/>
      <c r="G3" s="115"/>
    </row>
    <row r="4" spans="1:12" ht="15.6" x14ac:dyDescent="0.3">
      <c r="A4" s="492"/>
      <c r="B4" s="85">
        <v>11</v>
      </c>
      <c r="C4" s="85" t="str">
        <f>Translations!$B$1291</f>
        <v>Additional emissions data – EU ETS and CH ETS</v>
      </c>
      <c r="D4" s="85"/>
      <c r="E4" s="85"/>
      <c r="F4" s="85"/>
      <c r="G4" s="85"/>
      <c r="H4" s="85"/>
      <c r="J4" s="492"/>
      <c r="K4" s="914" t="s">
        <v>1982</v>
      </c>
      <c r="L4" s="496"/>
    </row>
    <row r="5" spans="1:12" s="68" customFormat="1" ht="25.5" customHeight="1" x14ac:dyDescent="0.25">
      <c r="A5" s="485"/>
      <c r="B5" s="60"/>
      <c r="C5" s="1301" t="str">
        <f>Translations!$B$1292</f>
        <v>For reducing administrative burden, this Annex should include both flights covered by the EU ETS and CH ETS</v>
      </c>
      <c r="D5" s="1302"/>
      <c r="E5" s="1302"/>
      <c r="F5" s="1302"/>
      <c r="G5" s="1302"/>
      <c r="H5" s="1302"/>
      <c r="I5" s="56"/>
      <c r="J5" s="485"/>
      <c r="K5" s="914"/>
      <c r="L5" s="312"/>
    </row>
    <row r="6" spans="1:12" s="68" customFormat="1" ht="12.75" customHeight="1" x14ac:dyDescent="0.25">
      <c r="A6" s="485"/>
      <c r="B6" s="60"/>
      <c r="C6" s="1046" t="str">
        <f>Translations!$B$1357</f>
        <v>This annex to the annual emissions report is used for consistency and compliance checking of data in the previous sections.</v>
      </c>
      <c r="D6" s="960"/>
      <c r="E6" s="960"/>
      <c r="F6" s="960"/>
      <c r="G6" s="960"/>
      <c r="H6" s="960"/>
      <c r="I6" s="56"/>
      <c r="J6" s="485"/>
      <c r="K6" s="914"/>
      <c r="L6" s="312"/>
    </row>
    <row r="7" spans="1:12" s="68" customFormat="1" ht="39.6" customHeight="1" x14ac:dyDescent="0.25">
      <c r="A7" s="485"/>
      <c r="B7" s="60"/>
      <c r="C7" s="1078" t="str">
        <f>Translations!$B$1358</f>
        <v>In addition, from 2023, Article 14(6) of the EU ETS Directive requires the Commission to publish annually aggregated emissions related data from aviation activities reported to Member States in accoradance with the MRR. The data in this report and its Annexes will be used for this purpose.</v>
      </c>
      <c r="D7" s="1000"/>
      <c r="E7" s="1000"/>
      <c r="F7" s="1000"/>
      <c r="G7" s="1000"/>
      <c r="H7" s="1000"/>
      <c r="I7" s="56"/>
      <c r="J7" s="485"/>
      <c r="K7" s="914"/>
      <c r="L7" s="312"/>
    </row>
    <row r="8" spans="1:12" s="68" customFormat="1" ht="25.5" customHeight="1" x14ac:dyDescent="0.25">
      <c r="A8" s="485"/>
      <c r="B8" s="60"/>
      <c r="C8" s="1046" t="str">
        <f>Translations!$B$1359</f>
        <v>That article also specifies that in particular situations aircraft operators may request that some data are treated as confidential, i.e. that the publication of data is done at a higher aggregated level. For such request, the Directive specifies:</v>
      </c>
      <c r="D8" s="960"/>
      <c r="E8" s="960"/>
      <c r="F8" s="960"/>
      <c r="G8" s="960"/>
      <c r="H8" s="960"/>
      <c r="I8" s="56"/>
      <c r="J8" s="485"/>
      <c r="K8" s="914"/>
      <c r="L8" s="312"/>
    </row>
    <row r="9" spans="1:12" s="68" customFormat="1" ht="63.75" customHeight="1" x14ac:dyDescent="0.25">
      <c r="A9" s="485"/>
      <c r="B9" s="60"/>
      <c r="C9" s="1046" t="str">
        <f>Translations!$B$1360</f>
        <v>"[...]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v>
      </c>
      <c r="D9" s="960"/>
      <c r="E9" s="960"/>
      <c r="F9" s="960"/>
      <c r="G9" s="960"/>
      <c r="H9" s="960"/>
      <c r="I9" s="56"/>
      <c r="J9" s="485"/>
      <c r="K9" s="914"/>
      <c r="L9" s="312"/>
    </row>
    <row r="10" spans="1:12" s="68" customFormat="1" ht="5.0999999999999996" customHeight="1" x14ac:dyDescent="0.25">
      <c r="A10" s="485"/>
      <c r="B10" s="60"/>
      <c r="C10" s="1046"/>
      <c r="D10" s="960"/>
      <c r="E10" s="960"/>
      <c r="F10" s="960"/>
      <c r="G10" s="960"/>
      <c r="H10" s="960"/>
      <c r="I10" s="56"/>
      <c r="J10" s="485"/>
      <c r="K10" s="914"/>
      <c r="L10" s="312"/>
    </row>
    <row r="11" spans="1:12" x14ac:dyDescent="0.25">
      <c r="A11" s="492"/>
      <c r="B11" s="60" t="s">
        <v>33</v>
      </c>
      <c r="C11" s="74" t="str">
        <f>Translations!$B$1015</f>
        <v>Please indicate if the data in this annex is considered confidential:</v>
      </c>
      <c r="D11" s="69"/>
      <c r="E11" s="69"/>
      <c r="F11" s="69"/>
      <c r="G11" s="69"/>
      <c r="H11" s="172" t="b">
        <v>0</v>
      </c>
      <c r="J11" s="492"/>
      <c r="K11" s="914"/>
      <c r="L11" s="496"/>
    </row>
    <row r="12" spans="1:12" s="68" customFormat="1" ht="5.0999999999999996" customHeight="1" x14ac:dyDescent="0.25">
      <c r="A12" s="485"/>
      <c r="B12" s="113"/>
      <c r="G12" s="112"/>
      <c r="H12" s="112"/>
      <c r="I12" s="56"/>
      <c r="J12" s="485"/>
      <c r="K12" s="914"/>
      <c r="L12" s="312"/>
    </row>
    <row r="13" spans="1:12" s="68" customFormat="1" ht="39.450000000000003" customHeight="1" x14ac:dyDescent="0.25">
      <c r="A13" s="485"/>
      <c r="B13" s="60" t="s">
        <v>255</v>
      </c>
      <c r="C13" s="1104" t="s">
        <v>1917</v>
      </c>
      <c r="D13" s="960"/>
      <c r="E13" s="960"/>
      <c r="F13" s="960"/>
      <c r="G13" s="960"/>
      <c r="H13" s="960"/>
      <c r="I13" s="56"/>
      <c r="J13" s="485"/>
      <c r="K13" s="914" t="s">
        <v>13</v>
      </c>
      <c r="L13" s="312"/>
    </row>
    <row r="14" spans="1:12" s="68" customFormat="1" ht="25.5" customHeight="1" x14ac:dyDescent="0.25">
      <c r="A14" s="485"/>
      <c r="B14" s="60"/>
      <c r="C14" s="1303"/>
      <c r="D14" s="1304"/>
      <c r="E14" s="1304"/>
      <c r="F14" s="1304"/>
      <c r="G14" s="1304"/>
      <c r="H14" s="1305"/>
      <c r="I14" s="56"/>
      <c r="J14" s="485"/>
      <c r="K14" s="914"/>
      <c r="L14" s="312"/>
    </row>
    <row r="15" spans="1:12" s="68" customFormat="1" ht="25.5" customHeight="1" x14ac:dyDescent="0.25">
      <c r="A15" s="485"/>
      <c r="B15" s="60"/>
      <c r="C15" s="1294"/>
      <c r="D15" s="1295"/>
      <c r="E15" s="1295"/>
      <c r="F15" s="1295"/>
      <c r="G15" s="1295"/>
      <c r="H15" s="1296"/>
      <c r="I15" s="56"/>
      <c r="J15" s="485"/>
      <c r="K15" s="914"/>
      <c r="L15" s="312"/>
    </row>
    <row r="16" spans="1:12" s="68" customFormat="1" ht="25.5" customHeight="1" x14ac:dyDescent="0.25">
      <c r="A16" s="485"/>
      <c r="B16" s="60"/>
      <c r="C16" s="1294"/>
      <c r="D16" s="1295"/>
      <c r="E16" s="1295"/>
      <c r="F16" s="1295"/>
      <c r="G16" s="1295"/>
      <c r="H16" s="1296"/>
      <c r="I16" s="56"/>
      <c r="J16" s="485"/>
      <c r="K16" s="914"/>
      <c r="L16" s="312"/>
    </row>
    <row r="17" spans="1:12" s="68" customFormat="1" ht="25.5" customHeight="1" x14ac:dyDescent="0.25">
      <c r="A17" s="485"/>
      <c r="B17" s="60"/>
      <c r="C17" s="1294"/>
      <c r="D17" s="1295"/>
      <c r="E17" s="1295"/>
      <c r="F17" s="1295"/>
      <c r="G17" s="1295"/>
      <c r="H17" s="1296"/>
      <c r="I17" s="56"/>
      <c r="J17" s="485"/>
      <c r="K17" s="914"/>
      <c r="L17" s="312"/>
    </row>
    <row r="18" spans="1:12" s="68" customFormat="1" ht="25.5" customHeight="1" x14ac:dyDescent="0.25">
      <c r="A18" s="485"/>
      <c r="B18" s="60"/>
      <c r="C18" s="1306"/>
      <c r="D18" s="1307"/>
      <c r="E18" s="1307"/>
      <c r="F18" s="1307"/>
      <c r="G18" s="1307"/>
      <c r="H18" s="1308"/>
      <c r="I18" s="56"/>
      <c r="J18" s="485"/>
      <c r="K18" s="914"/>
      <c r="L18" s="312"/>
    </row>
    <row r="19" spans="1:12" s="68" customFormat="1" ht="25.5" customHeight="1" x14ac:dyDescent="0.25">
      <c r="A19" s="485"/>
      <c r="B19" s="60"/>
      <c r="C19" s="1046" t="str">
        <f>Translations!$B$1362</f>
        <v>Note that the request will be granted only if both the administering Member State and the Commission deem the reasons for not publishing data satisfactory.</v>
      </c>
      <c r="D19" s="960"/>
      <c r="E19" s="960"/>
      <c r="F19" s="960"/>
      <c r="G19" s="960"/>
      <c r="H19" s="960"/>
      <c r="I19" s="56"/>
      <c r="J19" s="485"/>
      <c r="K19" s="914"/>
      <c r="L19" s="312"/>
    </row>
    <row r="20" spans="1:12" s="68" customFormat="1" ht="25.5" customHeight="1" x14ac:dyDescent="0.25">
      <c r="A20" s="485"/>
      <c r="B20" s="60" t="s">
        <v>256</v>
      </c>
      <c r="C20" s="1046" t="str">
        <f>Translations!$B$1363</f>
        <v>In case the space above under point (a1) is not sufficient for explaining your reasons, you may attach a comprehensive explanation in a separate file. In this case, please enter here the filename of the attached file:</v>
      </c>
      <c r="D20" s="960"/>
      <c r="E20" s="960"/>
      <c r="F20" s="960"/>
      <c r="G20" s="960"/>
      <c r="H20" s="960"/>
      <c r="I20" s="56"/>
      <c r="J20" s="485"/>
      <c r="K20" s="914"/>
      <c r="L20" s="312"/>
    </row>
    <row r="21" spans="1:12" s="68" customFormat="1" ht="13.35" customHeight="1" x14ac:dyDescent="0.25">
      <c r="A21" s="485"/>
      <c r="B21" s="60"/>
      <c r="C21" s="74" t="str">
        <f>Translations!$B$1364</f>
        <v>Filename of attachment, if applicable:</v>
      </c>
      <c r="D21" s="313"/>
      <c r="E21" s="1309"/>
      <c r="F21" s="1310"/>
      <c r="G21" s="1310"/>
      <c r="H21" s="1311"/>
      <c r="I21" s="56"/>
      <c r="J21" s="485"/>
      <c r="K21" s="914"/>
      <c r="L21" s="312"/>
    </row>
    <row r="22" spans="1:12" s="68" customFormat="1" ht="13.35" customHeight="1" x14ac:dyDescent="0.25">
      <c r="A22" s="485"/>
      <c r="B22" s="60"/>
      <c r="C22" s="1046"/>
      <c r="D22" s="960"/>
      <c r="E22" s="960"/>
      <c r="F22" s="960"/>
      <c r="G22" s="960"/>
      <c r="H22" s="960"/>
      <c r="I22" s="56"/>
      <c r="J22" s="485"/>
      <c r="K22" s="914"/>
      <c r="L22" s="312"/>
    </row>
    <row r="23" spans="1:12" s="68" customFormat="1" ht="30" customHeight="1" x14ac:dyDescent="0.25">
      <c r="A23" s="485"/>
      <c r="B23" s="60" t="s">
        <v>34</v>
      </c>
      <c r="C23" s="1130" t="str">
        <f>Translations!$B$1016</f>
        <v>Please provide the data (totals during the reporting period, related to the reduced scope) in the table below per aerodrome pair.</v>
      </c>
      <c r="D23" s="1129"/>
      <c r="E23" s="1129"/>
      <c r="F23" s="1129"/>
      <c r="G23" s="1129"/>
      <c r="H23" s="1129"/>
      <c r="I23" s="56"/>
      <c r="J23" s="485"/>
      <c r="K23" s="914"/>
      <c r="L23" s="312"/>
    </row>
    <row r="24" spans="1:12" s="68" customFormat="1" ht="13.2" customHeight="1" x14ac:dyDescent="0.25">
      <c r="A24" s="485"/>
      <c r="B24" s="60"/>
      <c r="C24" s="1051" t="str">
        <f>Translations!$B$1017</f>
        <v xml:space="preserve">Please fill in the table below. If you need additional rows, please insert them above the "end of list" row. In that case the formula for the totals will work correctly. </v>
      </c>
      <c r="D24" s="1129"/>
      <c r="E24" s="1129"/>
      <c r="F24" s="1129"/>
      <c r="G24" s="1129"/>
      <c r="H24" s="1129"/>
      <c r="I24" s="56"/>
      <c r="J24" s="485"/>
      <c r="K24" s="914"/>
      <c r="L24" s="312"/>
    </row>
    <row r="25" spans="1:12" s="68" customFormat="1" ht="13.2" customHeight="1" x14ac:dyDescent="0.25">
      <c r="A25" s="485"/>
      <c r="B25" s="60"/>
      <c r="C25" s="1299" t="s">
        <v>1981</v>
      </c>
      <c r="D25" s="1300"/>
      <c r="E25" s="1300"/>
      <c r="F25" s="1300"/>
      <c r="G25" s="1300"/>
      <c r="H25" s="1300"/>
      <c r="I25" s="56"/>
      <c r="J25" s="485"/>
      <c r="K25" s="914" t="s">
        <v>11</v>
      </c>
      <c r="L25" s="312"/>
    </row>
    <row r="26" spans="1:12" s="68" customFormat="1" ht="26.4" customHeight="1" x14ac:dyDescent="0.25">
      <c r="A26" s="485"/>
      <c r="B26" s="60"/>
      <c r="C26" s="1051" t="str">
        <f>Translations!$B$1018</f>
        <v>Note that if you add additional cells, and/or copy and paste data from another program or worksheet, you have to check the correctness of existing formulae. It is the full responsibility of the aircraft operator to check the correctness of calculations.</v>
      </c>
      <c r="D26" s="1129"/>
      <c r="E26" s="1129"/>
      <c r="F26" s="1129"/>
      <c r="G26" s="1129"/>
      <c r="H26" s="1129"/>
      <c r="I26" s="56"/>
      <c r="J26" s="485"/>
      <c r="K26" s="914"/>
      <c r="L26" s="312"/>
    </row>
    <row r="27" spans="1:12" s="68" customFormat="1" ht="13.2" customHeight="1" x14ac:dyDescent="0.25">
      <c r="A27" s="485"/>
      <c r="B27" s="60"/>
      <c r="C27" s="1299" t="s">
        <v>1915</v>
      </c>
      <c r="D27" s="1300"/>
      <c r="E27" s="1300"/>
      <c r="F27" s="1300"/>
      <c r="G27" s="1300"/>
      <c r="H27" s="1300"/>
      <c r="I27" s="56"/>
      <c r="J27" s="485"/>
      <c r="K27" s="914" t="s">
        <v>11</v>
      </c>
      <c r="L27" s="312"/>
    </row>
    <row r="28" spans="1:12" s="68" customFormat="1" ht="13.2" customHeight="1" x14ac:dyDescent="0.25">
      <c r="A28" s="485"/>
      <c r="B28" s="60"/>
      <c r="C28" s="1202" t="s">
        <v>1983</v>
      </c>
      <c r="D28" s="1130"/>
      <c r="E28" s="1130"/>
      <c r="F28" s="1130"/>
      <c r="G28" s="1130"/>
      <c r="H28" s="1130"/>
      <c r="I28" s="56"/>
      <c r="J28" s="485"/>
      <c r="K28" s="914" t="s">
        <v>11</v>
      </c>
      <c r="L28" s="312"/>
    </row>
    <row r="29" spans="1:12" s="68" customFormat="1" ht="66.150000000000006" customHeight="1" x14ac:dyDescent="0.25">
      <c r="A29" s="485"/>
      <c r="B29" s="60"/>
      <c r="C29" s="1046" t="s">
        <v>2094</v>
      </c>
      <c r="D29" s="960"/>
      <c r="E29" s="960"/>
      <c r="F29" s="960"/>
      <c r="G29" s="960"/>
      <c r="H29" s="960"/>
      <c r="I29" s="56"/>
      <c r="J29" s="485"/>
      <c r="K29" s="914" t="s">
        <v>11</v>
      </c>
      <c r="L29" s="312" t="s">
        <v>13</v>
      </c>
    </row>
    <row r="30" spans="1:12" s="68" customFormat="1" ht="4.95" customHeight="1" x14ac:dyDescent="0.25">
      <c r="A30" s="485"/>
      <c r="B30" s="60"/>
      <c r="C30" s="824"/>
      <c r="D30" s="886"/>
      <c r="E30" s="886"/>
      <c r="F30" s="886"/>
      <c r="G30" s="886"/>
      <c r="H30" s="886"/>
      <c r="I30" s="56"/>
      <c r="J30" s="485"/>
      <c r="K30" s="914"/>
      <c r="L30" s="312"/>
    </row>
    <row r="31" spans="1:12" s="101" customFormat="1" ht="24.75" customHeight="1" x14ac:dyDescent="0.25">
      <c r="A31" s="493"/>
      <c r="C31" s="1297" t="str">
        <f>Translations!$B$1019</f>
        <v>Aerodrome Pair (use 4-letter ICAO designator)</v>
      </c>
      <c r="D31" s="1298"/>
      <c r="E31" s="1297" t="str">
        <f>Translations!$B$1020</f>
        <v>Total number of flights per aerodrome pair</v>
      </c>
      <c r="F31" s="1297" t="s">
        <v>1977</v>
      </c>
      <c r="G31" s="1297" t="s">
        <v>1978</v>
      </c>
      <c r="H31" s="1297" t="str">
        <f>Translations!$B$1021</f>
        <v>Total emissions
[t CO2]</v>
      </c>
      <c r="I31" s="56"/>
      <c r="J31" s="493"/>
      <c r="K31" s="914" t="s">
        <v>1984</v>
      </c>
      <c r="L31" s="483"/>
    </row>
    <row r="32" spans="1:12" s="101" customFormat="1" ht="13.35" customHeight="1" x14ac:dyDescent="0.25">
      <c r="A32" s="493"/>
      <c r="C32" s="191" t="str">
        <f>Translations!$B$1022</f>
        <v>Aerodrome of departure</v>
      </c>
      <c r="D32" s="192" t="str">
        <f>Translations!$B$1023</f>
        <v>Aerodrome of arrival</v>
      </c>
      <c r="E32" s="1298"/>
      <c r="F32" s="1298"/>
      <c r="G32" s="1298"/>
      <c r="H32" s="1298"/>
      <c r="I32" s="56"/>
      <c r="J32" s="493"/>
      <c r="K32" s="954"/>
      <c r="L32" s="483"/>
    </row>
    <row r="33" spans="1:12" s="111" customFormat="1" ht="13.35" customHeight="1" x14ac:dyDescent="0.25">
      <c r="A33" s="494"/>
      <c r="B33" s="108"/>
      <c r="C33" s="110" t="s">
        <v>2106</v>
      </c>
      <c r="D33" s="110" t="s">
        <v>2107</v>
      </c>
      <c r="E33" s="109"/>
      <c r="F33" s="875" t="s">
        <v>79</v>
      </c>
      <c r="G33" s="109">
        <v>3000</v>
      </c>
      <c r="H33" s="866">
        <f t="shared" ref="H33:H64" si="0">IF( AND(F33&lt;&gt;"",ISNUMBER(G33)),  IFERROR( G33 * INDEX(CNTR_FuelListEFprelimInclStd,MATCH( F33,  CNTR_FuelListNamesInclStd,0))  * IF(INDEX(CNTR_FuelListIsZeroInclStd,MATCH( F33,  CNTR_FuelListNamesInclStd,0)) =TRUE, 0, 1),  "--"),  "")</f>
        <v>9480</v>
      </c>
      <c r="I33" s="56"/>
      <c r="J33" s="494"/>
      <c r="K33" s="955"/>
      <c r="L33" s="644"/>
    </row>
    <row r="34" spans="1:12" s="111" customFormat="1" ht="13.35" customHeight="1" x14ac:dyDescent="0.25">
      <c r="A34" s="494"/>
      <c r="B34" s="108"/>
      <c r="C34" s="110" t="s">
        <v>2106</v>
      </c>
      <c r="D34" s="110" t="s">
        <v>2107</v>
      </c>
      <c r="E34" s="109"/>
      <c r="F34" s="875" t="s">
        <v>2111</v>
      </c>
      <c r="G34" s="109">
        <v>10</v>
      </c>
      <c r="H34" s="866">
        <f t="shared" si="0"/>
        <v>0</v>
      </c>
      <c r="I34" s="56"/>
      <c r="J34" s="494"/>
      <c r="K34" s="955"/>
      <c r="L34" s="644"/>
    </row>
    <row r="35" spans="1:12" s="111" customFormat="1" ht="13.35" customHeight="1" x14ac:dyDescent="0.25">
      <c r="A35" s="494"/>
      <c r="B35" s="108"/>
      <c r="C35" s="110" t="s">
        <v>2106</v>
      </c>
      <c r="D35" s="110" t="s">
        <v>2108</v>
      </c>
      <c r="E35" s="109"/>
      <c r="F35" s="875" t="s">
        <v>79</v>
      </c>
      <c r="G35" s="109">
        <v>500</v>
      </c>
      <c r="H35" s="866">
        <f t="shared" si="0"/>
        <v>1580</v>
      </c>
      <c r="I35" s="56"/>
      <c r="J35" s="494"/>
      <c r="K35" s="955"/>
      <c r="L35" s="644"/>
    </row>
    <row r="36" spans="1:12" s="111" customFormat="1" ht="13.35" customHeight="1" x14ac:dyDescent="0.25">
      <c r="A36" s="494"/>
      <c r="B36" s="108"/>
      <c r="C36" s="110" t="s">
        <v>2106</v>
      </c>
      <c r="D36" s="110" t="s">
        <v>2108</v>
      </c>
      <c r="E36" s="109"/>
      <c r="F36" s="875" t="s">
        <v>2112</v>
      </c>
      <c r="G36" s="109">
        <v>5</v>
      </c>
      <c r="H36" s="866">
        <f t="shared" si="0"/>
        <v>0</v>
      </c>
      <c r="I36" s="56"/>
      <c r="J36" s="494"/>
      <c r="K36" s="955"/>
      <c r="L36" s="644"/>
    </row>
    <row r="37" spans="1:12" s="111" customFormat="1" ht="13.35" customHeight="1" x14ac:dyDescent="0.25">
      <c r="A37" s="494"/>
      <c r="B37" s="108"/>
      <c r="C37" s="110" t="s">
        <v>2106</v>
      </c>
      <c r="D37" s="110" t="s">
        <v>2109</v>
      </c>
      <c r="E37" s="109"/>
      <c r="F37" s="875" t="s">
        <v>79</v>
      </c>
      <c r="G37" s="109">
        <v>1000</v>
      </c>
      <c r="H37" s="866">
        <f t="shared" si="0"/>
        <v>3160</v>
      </c>
      <c r="I37" s="56"/>
      <c r="J37" s="494"/>
      <c r="K37" s="955"/>
      <c r="L37" s="644"/>
    </row>
    <row r="38" spans="1:12" s="111" customFormat="1" ht="13.35" customHeight="1" x14ac:dyDescent="0.25">
      <c r="A38" s="494"/>
      <c r="B38" s="108"/>
      <c r="C38" s="110" t="s">
        <v>2106</v>
      </c>
      <c r="D38" s="110" t="s">
        <v>2109</v>
      </c>
      <c r="E38" s="109"/>
      <c r="F38" s="875" t="s">
        <v>2111</v>
      </c>
      <c r="G38" s="109">
        <v>20</v>
      </c>
      <c r="H38" s="866">
        <f t="shared" si="0"/>
        <v>0</v>
      </c>
      <c r="I38" s="56"/>
      <c r="J38" s="494"/>
      <c r="K38" s="955"/>
      <c r="L38" s="644"/>
    </row>
    <row r="39" spans="1:12" s="111" customFormat="1" ht="13.35" customHeight="1" x14ac:dyDescent="0.25">
      <c r="A39" s="494"/>
      <c r="B39" s="108"/>
      <c r="C39" s="110" t="s">
        <v>2106</v>
      </c>
      <c r="D39" s="110" t="s">
        <v>2110</v>
      </c>
      <c r="E39" s="109"/>
      <c r="F39" s="875" t="s">
        <v>79</v>
      </c>
      <c r="G39" s="109">
        <v>5000</v>
      </c>
      <c r="H39" s="866">
        <f t="shared" si="0"/>
        <v>15800</v>
      </c>
      <c r="I39" s="56"/>
      <c r="J39" s="494"/>
      <c r="K39" s="955"/>
      <c r="L39" s="644"/>
    </row>
    <row r="40" spans="1:12" s="111" customFormat="1" ht="13.35" customHeight="1" x14ac:dyDescent="0.25">
      <c r="A40" s="494"/>
      <c r="B40" s="108"/>
      <c r="C40" s="110" t="s">
        <v>2106</v>
      </c>
      <c r="D40" s="110" t="s">
        <v>2110</v>
      </c>
      <c r="E40" s="109"/>
      <c r="F40" s="875" t="s">
        <v>2113</v>
      </c>
      <c r="G40" s="109">
        <v>2</v>
      </c>
      <c r="H40" s="866">
        <f t="shared" si="0"/>
        <v>6.32</v>
      </c>
      <c r="I40" s="56"/>
      <c r="J40" s="494"/>
      <c r="K40" s="955"/>
      <c r="L40" s="644"/>
    </row>
    <row r="41" spans="1:12" s="111" customFormat="1" ht="13.35" customHeight="1" x14ac:dyDescent="0.25">
      <c r="A41" s="494"/>
      <c r="B41" s="108"/>
      <c r="C41" s="110" t="s">
        <v>2107</v>
      </c>
      <c r="D41" s="110" t="s">
        <v>2106</v>
      </c>
      <c r="E41" s="109"/>
      <c r="F41" s="875" t="s">
        <v>79</v>
      </c>
      <c r="G41" s="109">
        <v>3000</v>
      </c>
      <c r="H41" s="866">
        <f t="shared" si="0"/>
        <v>9480</v>
      </c>
      <c r="I41" s="56"/>
      <c r="J41" s="494"/>
      <c r="K41" s="955"/>
      <c r="L41" s="644"/>
    </row>
    <row r="42" spans="1:12" s="111" customFormat="1" ht="13.35" customHeight="1" x14ac:dyDescent="0.25">
      <c r="A42" s="494"/>
      <c r="B42" s="108"/>
      <c r="C42" s="110" t="s">
        <v>2107</v>
      </c>
      <c r="D42" s="110" t="s">
        <v>2106</v>
      </c>
      <c r="E42" s="109"/>
      <c r="F42" s="875" t="s">
        <v>2111</v>
      </c>
      <c r="G42" s="109">
        <v>30</v>
      </c>
      <c r="H42" s="866">
        <f t="shared" si="0"/>
        <v>0</v>
      </c>
      <c r="I42" s="56"/>
      <c r="J42" s="494"/>
      <c r="K42" s="955"/>
      <c r="L42" s="644"/>
    </row>
    <row r="43" spans="1:12" s="111" customFormat="1" ht="13.35" customHeight="1" x14ac:dyDescent="0.25">
      <c r="A43" s="494"/>
      <c r="B43" s="108"/>
      <c r="C43" s="110" t="s">
        <v>2108</v>
      </c>
      <c r="D43" s="110" t="s">
        <v>2106</v>
      </c>
      <c r="E43" s="109"/>
      <c r="F43" s="875" t="s">
        <v>79</v>
      </c>
      <c r="G43" s="109">
        <v>600</v>
      </c>
      <c r="H43" s="866">
        <f t="shared" si="0"/>
        <v>1896</v>
      </c>
      <c r="I43" s="56"/>
      <c r="J43" s="494"/>
      <c r="K43" s="955"/>
      <c r="L43" s="644"/>
    </row>
    <row r="44" spans="1:12" s="111" customFormat="1" ht="13.35" customHeight="1" x14ac:dyDescent="0.25">
      <c r="A44" s="494"/>
      <c r="B44" s="108"/>
      <c r="C44" s="110" t="s">
        <v>2108</v>
      </c>
      <c r="D44" s="110" t="s">
        <v>2106</v>
      </c>
      <c r="E44" s="109"/>
      <c r="F44" s="875" t="s">
        <v>2111</v>
      </c>
      <c r="G44" s="109">
        <v>10</v>
      </c>
      <c r="H44" s="866">
        <f t="shared" si="0"/>
        <v>0</v>
      </c>
      <c r="I44" s="56"/>
      <c r="J44" s="494"/>
      <c r="K44" s="955"/>
      <c r="L44" s="644"/>
    </row>
    <row r="45" spans="1:12" s="111" customFormat="1" ht="13.35" customHeight="1" x14ac:dyDescent="0.25">
      <c r="A45" s="494"/>
      <c r="B45" s="108"/>
      <c r="C45" s="110" t="s">
        <v>2109</v>
      </c>
      <c r="D45" s="110" t="s">
        <v>2106</v>
      </c>
      <c r="E45" s="109"/>
      <c r="F45" s="875" t="s">
        <v>79</v>
      </c>
      <c r="G45" s="109">
        <v>1000</v>
      </c>
      <c r="H45" s="866">
        <f t="shared" si="0"/>
        <v>3160</v>
      </c>
      <c r="I45" s="56"/>
      <c r="J45" s="494"/>
      <c r="K45" s="955"/>
      <c r="L45" s="644"/>
    </row>
    <row r="46" spans="1:12" s="111" customFormat="1" ht="13.35" customHeight="1" x14ac:dyDescent="0.25">
      <c r="A46" s="494"/>
      <c r="B46" s="108"/>
      <c r="C46" s="110" t="s">
        <v>2109</v>
      </c>
      <c r="D46" s="110" t="s">
        <v>2106</v>
      </c>
      <c r="E46" s="109"/>
      <c r="F46" s="875" t="s">
        <v>2111</v>
      </c>
      <c r="G46" s="109">
        <v>10</v>
      </c>
      <c r="H46" s="866">
        <f t="shared" si="0"/>
        <v>0</v>
      </c>
      <c r="I46" s="56"/>
      <c r="J46" s="494"/>
      <c r="K46" s="955"/>
      <c r="L46" s="644"/>
    </row>
    <row r="47" spans="1:12" s="111" customFormat="1" ht="13.35" customHeight="1" x14ac:dyDescent="0.25">
      <c r="A47" s="494"/>
      <c r="B47" s="108"/>
      <c r="C47" s="110" t="s">
        <v>2110</v>
      </c>
      <c r="D47" s="110" t="s">
        <v>2106</v>
      </c>
      <c r="E47" s="109"/>
      <c r="F47" s="875" t="s">
        <v>79</v>
      </c>
      <c r="G47" s="109">
        <v>5000</v>
      </c>
      <c r="H47" s="866">
        <f t="shared" si="0"/>
        <v>15800</v>
      </c>
      <c r="I47" s="56"/>
      <c r="J47" s="494"/>
      <c r="K47" s="955"/>
      <c r="L47" s="644"/>
    </row>
    <row r="48" spans="1:12" s="111" customFormat="1" ht="13.35" customHeight="1" x14ac:dyDescent="0.25">
      <c r="A48" s="494"/>
      <c r="B48" s="108"/>
      <c r="C48" s="110" t="s">
        <v>2114</v>
      </c>
      <c r="D48" s="110" t="s">
        <v>2106</v>
      </c>
      <c r="E48" s="109"/>
      <c r="F48" s="875" t="s">
        <v>79</v>
      </c>
      <c r="G48" s="109">
        <v>500</v>
      </c>
      <c r="H48" s="866">
        <f t="shared" si="0"/>
        <v>1580</v>
      </c>
      <c r="I48" s="56"/>
      <c r="J48" s="494"/>
      <c r="K48" s="955"/>
      <c r="L48" s="644"/>
    </row>
    <row r="49" spans="1:12" s="111" customFormat="1" ht="13.35" customHeight="1" x14ac:dyDescent="0.25">
      <c r="A49" s="494"/>
      <c r="B49" s="108"/>
      <c r="C49" s="110" t="s">
        <v>2114</v>
      </c>
      <c r="D49" s="110" t="s">
        <v>2106</v>
      </c>
      <c r="E49" s="109"/>
      <c r="F49" s="875" t="s">
        <v>2111</v>
      </c>
      <c r="G49" s="109">
        <v>10</v>
      </c>
      <c r="H49" s="866">
        <f t="shared" si="0"/>
        <v>0</v>
      </c>
      <c r="I49" s="56"/>
      <c r="J49" s="494"/>
      <c r="K49" s="955"/>
      <c r="L49" s="644"/>
    </row>
    <row r="50" spans="1:12" s="111" customFormat="1" ht="13.35" customHeight="1" x14ac:dyDescent="0.25">
      <c r="A50" s="494"/>
      <c r="B50" s="108"/>
      <c r="C50" s="110" t="s">
        <v>2106</v>
      </c>
      <c r="D50" s="110" t="s">
        <v>2114</v>
      </c>
      <c r="E50" s="109"/>
      <c r="F50" s="875" t="s">
        <v>79</v>
      </c>
      <c r="G50" s="109">
        <v>500</v>
      </c>
      <c r="H50" s="866">
        <f t="shared" si="0"/>
        <v>1580</v>
      </c>
      <c r="I50" s="56"/>
      <c r="J50" s="494"/>
      <c r="K50" s="955"/>
      <c r="L50" s="644"/>
    </row>
    <row r="51" spans="1:12" s="111" customFormat="1" ht="13.35" customHeight="1" x14ac:dyDescent="0.25">
      <c r="A51" s="494"/>
      <c r="B51" s="108"/>
      <c r="C51" s="110"/>
      <c r="D51" s="110"/>
      <c r="E51" s="109"/>
      <c r="F51" s="875"/>
      <c r="G51" s="109"/>
      <c r="H51" s="866" t="str">
        <f t="shared" si="0"/>
        <v/>
      </c>
      <c r="I51" s="56"/>
      <c r="J51" s="494"/>
      <c r="K51" s="955"/>
      <c r="L51" s="644"/>
    </row>
    <row r="52" spans="1:12" s="111" customFormat="1" ht="13.35" customHeight="1" x14ac:dyDescent="0.25">
      <c r="A52" s="494"/>
      <c r="B52" s="108"/>
      <c r="C52" s="110"/>
      <c r="D52" s="110"/>
      <c r="E52" s="109"/>
      <c r="F52" s="875"/>
      <c r="G52" s="109"/>
      <c r="H52" s="866" t="str">
        <f t="shared" si="0"/>
        <v/>
      </c>
      <c r="I52" s="56"/>
      <c r="J52" s="494"/>
      <c r="K52" s="955"/>
      <c r="L52" s="644"/>
    </row>
    <row r="53" spans="1:12" s="111" customFormat="1" ht="13.35" customHeight="1" x14ac:dyDescent="0.25">
      <c r="A53" s="494"/>
      <c r="B53" s="108"/>
      <c r="C53" s="110"/>
      <c r="D53" s="110"/>
      <c r="E53" s="109"/>
      <c r="F53" s="875"/>
      <c r="G53" s="109"/>
      <c r="H53" s="866" t="str">
        <f t="shared" si="0"/>
        <v/>
      </c>
      <c r="I53" s="56"/>
      <c r="J53" s="494"/>
      <c r="K53" s="955"/>
      <c r="L53" s="644"/>
    </row>
    <row r="54" spans="1:12" s="111" customFormat="1" ht="13.35" customHeight="1" x14ac:dyDescent="0.25">
      <c r="A54" s="494"/>
      <c r="B54" s="108"/>
      <c r="C54" s="110"/>
      <c r="D54" s="110"/>
      <c r="E54" s="109"/>
      <c r="F54" s="875"/>
      <c r="G54" s="109"/>
      <c r="H54" s="866" t="str">
        <f t="shared" si="0"/>
        <v/>
      </c>
      <c r="I54" s="56"/>
      <c r="J54" s="494"/>
      <c r="K54" s="955"/>
      <c r="L54" s="644"/>
    </row>
    <row r="55" spans="1:12" s="111" customFormat="1" ht="13.35" customHeight="1" x14ac:dyDescent="0.25">
      <c r="A55" s="494"/>
      <c r="B55" s="108"/>
      <c r="C55" s="110"/>
      <c r="D55" s="110"/>
      <c r="E55" s="109"/>
      <c r="F55" s="875"/>
      <c r="G55" s="109"/>
      <c r="H55" s="866" t="str">
        <f t="shared" si="0"/>
        <v/>
      </c>
      <c r="I55" s="56"/>
      <c r="J55" s="494"/>
      <c r="K55" s="955"/>
      <c r="L55" s="644"/>
    </row>
    <row r="56" spans="1:12" s="106" customFormat="1" ht="13.35" customHeight="1" x14ac:dyDescent="0.25">
      <c r="A56" s="495"/>
      <c r="B56" s="108"/>
      <c r="C56" s="110"/>
      <c r="D56" s="110"/>
      <c r="E56" s="109"/>
      <c r="F56" s="875"/>
      <c r="G56" s="109"/>
      <c r="H56" s="866" t="str">
        <f t="shared" si="0"/>
        <v/>
      </c>
      <c r="I56" s="56"/>
      <c r="J56" s="495"/>
      <c r="K56" s="955"/>
      <c r="L56" s="956"/>
    </row>
    <row r="57" spans="1:12" s="106" customFormat="1" ht="13.35" customHeight="1" x14ac:dyDescent="0.25">
      <c r="A57" s="495"/>
      <c r="B57" s="108"/>
      <c r="C57" s="110"/>
      <c r="D57" s="110"/>
      <c r="E57" s="109"/>
      <c r="F57" s="875"/>
      <c r="G57" s="109"/>
      <c r="H57" s="866" t="str">
        <f t="shared" si="0"/>
        <v/>
      </c>
      <c r="I57" s="56"/>
      <c r="J57" s="495"/>
      <c r="K57" s="955"/>
      <c r="L57" s="956"/>
    </row>
    <row r="58" spans="1:12" s="106" customFormat="1" ht="13.35" customHeight="1" x14ac:dyDescent="0.25">
      <c r="A58" s="495"/>
      <c r="B58" s="108"/>
      <c r="C58" s="110"/>
      <c r="D58" s="110"/>
      <c r="E58" s="109"/>
      <c r="F58" s="875"/>
      <c r="G58" s="109"/>
      <c r="H58" s="866" t="str">
        <f t="shared" si="0"/>
        <v/>
      </c>
      <c r="I58" s="56"/>
      <c r="J58" s="495"/>
      <c r="K58" s="955"/>
      <c r="L58" s="956"/>
    </row>
    <row r="59" spans="1:12" s="106" customFormat="1" ht="13.35" customHeight="1" x14ac:dyDescent="0.25">
      <c r="A59" s="495"/>
      <c r="B59" s="108"/>
      <c r="C59" s="110"/>
      <c r="D59" s="110"/>
      <c r="E59" s="109"/>
      <c r="F59" s="875"/>
      <c r="G59" s="109"/>
      <c r="H59" s="866" t="str">
        <f t="shared" si="0"/>
        <v/>
      </c>
      <c r="I59" s="56"/>
      <c r="J59" s="495"/>
      <c r="K59" s="955"/>
      <c r="L59" s="956"/>
    </row>
    <row r="60" spans="1:12" s="106" customFormat="1" ht="13.35" customHeight="1" x14ac:dyDescent="0.25">
      <c r="A60" s="495"/>
      <c r="B60" s="108"/>
      <c r="C60" s="110"/>
      <c r="D60" s="110"/>
      <c r="E60" s="109"/>
      <c r="F60" s="875"/>
      <c r="G60" s="109"/>
      <c r="H60" s="866" t="str">
        <f t="shared" si="0"/>
        <v/>
      </c>
      <c r="I60" s="56"/>
      <c r="J60" s="495"/>
      <c r="K60" s="955"/>
      <c r="L60" s="956"/>
    </row>
    <row r="61" spans="1:12" s="111" customFormat="1" ht="13.35" customHeight="1" x14ac:dyDescent="0.25">
      <c r="A61" s="494"/>
      <c r="B61" s="108"/>
      <c r="C61" s="110"/>
      <c r="D61" s="110"/>
      <c r="E61" s="109"/>
      <c r="F61" s="875"/>
      <c r="G61" s="109"/>
      <c r="H61" s="866" t="str">
        <f t="shared" si="0"/>
        <v/>
      </c>
      <c r="I61" s="56"/>
      <c r="J61" s="494"/>
      <c r="K61" s="955"/>
      <c r="L61" s="644"/>
    </row>
    <row r="62" spans="1:12" s="111" customFormat="1" ht="13.35" customHeight="1" x14ac:dyDescent="0.25">
      <c r="A62" s="494"/>
      <c r="B62" s="108"/>
      <c r="C62" s="110"/>
      <c r="D62" s="110"/>
      <c r="E62" s="109"/>
      <c r="F62" s="875"/>
      <c r="G62" s="109"/>
      <c r="H62" s="866" t="str">
        <f t="shared" si="0"/>
        <v/>
      </c>
      <c r="I62" s="56"/>
      <c r="J62" s="494"/>
      <c r="K62" s="955"/>
      <c r="L62" s="644"/>
    </row>
    <row r="63" spans="1:12" s="111" customFormat="1" ht="13.35" customHeight="1" x14ac:dyDescent="0.25">
      <c r="A63" s="494"/>
      <c r="B63" s="108"/>
      <c r="C63" s="110"/>
      <c r="D63" s="110"/>
      <c r="E63" s="109"/>
      <c r="F63" s="875"/>
      <c r="G63" s="109"/>
      <c r="H63" s="866" t="str">
        <f t="shared" si="0"/>
        <v/>
      </c>
      <c r="I63" s="56"/>
      <c r="J63" s="494"/>
      <c r="K63" s="955"/>
      <c r="L63" s="644"/>
    </row>
    <row r="64" spans="1:12" s="111" customFormat="1" ht="13.35" customHeight="1" x14ac:dyDescent="0.25">
      <c r="A64" s="494"/>
      <c r="B64" s="108"/>
      <c r="C64" s="110"/>
      <c r="D64" s="110"/>
      <c r="E64" s="109"/>
      <c r="F64" s="875"/>
      <c r="G64" s="109"/>
      <c r="H64" s="866" t="str">
        <f t="shared" si="0"/>
        <v/>
      </c>
      <c r="I64" s="56"/>
      <c r="J64" s="494"/>
      <c r="K64" s="955"/>
      <c r="L64" s="644"/>
    </row>
    <row r="65" spans="1:12" s="111" customFormat="1" ht="13.35" customHeight="1" x14ac:dyDescent="0.25">
      <c r="A65" s="494"/>
      <c r="B65" s="108"/>
      <c r="C65" s="110"/>
      <c r="D65" s="110"/>
      <c r="E65" s="109"/>
      <c r="F65" s="875"/>
      <c r="G65" s="109"/>
      <c r="H65" s="866" t="str">
        <f t="shared" ref="H65:H96" si="1">IF( AND(F65&lt;&gt;"",ISNUMBER(G65)),  IFERROR( G65 * INDEX(CNTR_FuelListEFprelimInclStd,MATCH( F65,  CNTR_FuelListNamesInclStd,0))  * IF(INDEX(CNTR_FuelListIsZeroInclStd,MATCH( F65,  CNTR_FuelListNamesInclStd,0)) =TRUE, 0, 1),  "--"),  "")</f>
        <v/>
      </c>
      <c r="I65" s="56"/>
      <c r="J65" s="494"/>
      <c r="K65" s="955"/>
      <c r="L65" s="644"/>
    </row>
    <row r="66" spans="1:12" s="111" customFormat="1" ht="13.35" customHeight="1" x14ac:dyDescent="0.25">
      <c r="A66" s="494"/>
      <c r="B66" s="108"/>
      <c r="C66" s="110"/>
      <c r="D66" s="110"/>
      <c r="E66" s="109"/>
      <c r="F66" s="875"/>
      <c r="G66" s="109"/>
      <c r="H66" s="866" t="str">
        <f t="shared" si="1"/>
        <v/>
      </c>
      <c r="I66" s="56"/>
      <c r="J66" s="494"/>
      <c r="K66" s="955"/>
      <c r="L66" s="644"/>
    </row>
    <row r="67" spans="1:12" s="111" customFormat="1" ht="13.35" customHeight="1" x14ac:dyDescent="0.25">
      <c r="A67" s="494"/>
      <c r="B67" s="108"/>
      <c r="C67" s="110"/>
      <c r="D67" s="110"/>
      <c r="E67" s="109"/>
      <c r="F67" s="875"/>
      <c r="G67" s="109"/>
      <c r="H67" s="866" t="str">
        <f t="shared" si="1"/>
        <v/>
      </c>
      <c r="I67" s="56"/>
      <c r="J67" s="494"/>
      <c r="K67" s="955"/>
      <c r="L67" s="644"/>
    </row>
    <row r="68" spans="1:12" s="111" customFormat="1" ht="13.35" customHeight="1" x14ac:dyDescent="0.25">
      <c r="A68" s="494"/>
      <c r="B68" s="108"/>
      <c r="C68" s="110"/>
      <c r="D68" s="110"/>
      <c r="E68" s="109"/>
      <c r="F68" s="875"/>
      <c r="G68" s="109"/>
      <c r="H68" s="866" t="str">
        <f t="shared" si="1"/>
        <v/>
      </c>
      <c r="I68" s="56"/>
      <c r="J68" s="494"/>
      <c r="K68" s="955"/>
      <c r="L68" s="644"/>
    </row>
    <row r="69" spans="1:12" s="111" customFormat="1" ht="13.35" customHeight="1" x14ac:dyDescent="0.25">
      <c r="A69" s="494"/>
      <c r="B69" s="108"/>
      <c r="C69" s="110"/>
      <c r="D69" s="110"/>
      <c r="E69" s="109"/>
      <c r="F69" s="875"/>
      <c r="G69" s="109"/>
      <c r="H69" s="866" t="str">
        <f t="shared" si="1"/>
        <v/>
      </c>
      <c r="I69" s="56"/>
      <c r="J69" s="494"/>
      <c r="K69" s="955"/>
      <c r="L69" s="644"/>
    </row>
    <row r="70" spans="1:12" s="111" customFormat="1" ht="13.35" customHeight="1" x14ac:dyDescent="0.25">
      <c r="A70" s="494"/>
      <c r="B70" s="108"/>
      <c r="C70" s="110"/>
      <c r="D70" s="110"/>
      <c r="E70" s="109"/>
      <c r="F70" s="875"/>
      <c r="G70" s="109"/>
      <c r="H70" s="866" t="str">
        <f t="shared" si="1"/>
        <v/>
      </c>
      <c r="I70" s="56"/>
      <c r="J70" s="494"/>
      <c r="K70" s="955"/>
      <c r="L70" s="644"/>
    </row>
    <row r="71" spans="1:12" s="111" customFormat="1" ht="13.35" customHeight="1" x14ac:dyDescent="0.25">
      <c r="A71" s="494"/>
      <c r="B71" s="108"/>
      <c r="C71" s="110"/>
      <c r="D71" s="110"/>
      <c r="E71" s="109"/>
      <c r="F71" s="875"/>
      <c r="G71" s="109"/>
      <c r="H71" s="866" t="str">
        <f t="shared" si="1"/>
        <v/>
      </c>
      <c r="I71" s="56"/>
      <c r="J71" s="494"/>
      <c r="K71" s="955"/>
      <c r="L71" s="644"/>
    </row>
    <row r="72" spans="1:12" s="111" customFormat="1" ht="13.35" customHeight="1" x14ac:dyDescent="0.25">
      <c r="A72" s="494"/>
      <c r="B72" s="108"/>
      <c r="C72" s="110"/>
      <c r="D72" s="110"/>
      <c r="E72" s="109"/>
      <c r="F72" s="875"/>
      <c r="G72" s="109"/>
      <c r="H72" s="866" t="str">
        <f t="shared" si="1"/>
        <v/>
      </c>
      <c r="I72" s="56"/>
      <c r="J72" s="494"/>
      <c r="K72" s="955"/>
      <c r="L72" s="644"/>
    </row>
    <row r="73" spans="1:12" s="111" customFormat="1" ht="13.35" customHeight="1" x14ac:dyDescent="0.25">
      <c r="A73" s="494"/>
      <c r="B73" s="108"/>
      <c r="C73" s="110"/>
      <c r="D73" s="110"/>
      <c r="E73" s="109"/>
      <c r="F73" s="875"/>
      <c r="G73" s="109"/>
      <c r="H73" s="866" t="str">
        <f t="shared" si="1"/>
        <v/>
      </c>
      <c r="I73" s="56"/>
      <c r="J73" s="494"/>
      <c r="K73" s="955"/>
      <c r="L73" s="644"/>
    </row>
    <row r="74" spans="1:12" s="111" customFormat="1" ht="13.35" customHeight="1" x14ac:dyDescent="0.25">
      <c r="A74" s="494"/>
      <c r="B74" s="108"/>
      <c r="C74" s="110"/>
      <c r="D74" s="110"/>
      <c r="E74" s="109"/>
      <c r="F74" s="875"/>
      <c r="G74" s="109"/>
      <c r="H74" s="866" t="str">
        <f t="shared" si="1"/>
        <v/>
      </c>
      <c r="I74" s="56"/>
      <c r="J74" s="494"/>
      <c r="K74" s="955"/>
      <c r="L74" s="644"/>
    </row>
    <row r="75" spans="1:12" s="111" customFormat="1" ht="13.35" customHeight="1" x14ac:dyDescent="0.25">
      <c r="A75" s="494"/>
      <c r="B75" s="108"/>
      <c r="C75" s="110"/>
      <c r="D75" s="110"/>
      <c r="E75" s="109"/>
      <c r="F75" s="875"/>
      <c r="G75" s="109"/>
      <c r="H75" s="866" t="str">
        <f t="shared" si="1"/>
        <v/>
      </c>
      <c r="I75" s="56"/>
      <c r="J75" s="494"/>
      <c r="K75" s="955"/>
      <c r="L75" s="644"/>
    </row>
    <row r="76" spans="1:12" s="111" customFormat="1" ht="13.35" customHeight="1" x14ac:dyDescent="0.25">
      <c r="A76" s="494"/>
      <c r="B76" s="108"/>
      <c r="C76" s="110"/>
      <c r="D76" s="110"/>
      <c r="E76" s="109"/>
      <c r="F76" s="875"/>
      <c r="G76" s="109"/>
      <c r="H76" s="866" t="str">
        <f t="shared" si="1"/>
        <v/>
      </c>
      <c r="I76" s="56"/>
      <c r="J76" s="494"/>
      <c r="K76" s="955"/>
      <c r="L76" s="644"/>
    </row>
    <row r="77" spans="1:12" s="111" customFormat="1" ht="13.35" customHeight="1" x14ac:dyDescent="0.25">
      <c r="A77" s="494"/>
      <c r="B77" s="108"/>
      <c r="C77" s="110"/>
      <c r="D77" s="110"/>
      <c r="E77" s="109"/>
      <c r="F77" s="875"/>
      <c r="G77" s="109"/>
      <c r="H77" s="866" t="str">
        <f t="shared" si="1"/>
        <v/>
      </c>
      <c r="I77" s="56"/>
      <c r="J77" s="494"/>
      <c r="K77" s="955"/>
      <c r="L77" s="644"/>
    </row>
    <row r="78" spans="1:12" s="111" customFormat="1" ht="13.35" customHeight="1" x14ac:dyDescent="0.25">
      <c r="A78" s="494"/>
      <c r="B78" s="108"/>
      <c r="C78" s="110"/>
      <c r="D78" s="110"/>
      <c r="E78" s="109"/>
      <c r="F78" s="875"/>
      <c r="G78" s="109"/>
      <c r="H78" s="866" t="str">
        <f t="shared" si="1"/>
        <v/>
      </c>
      <c r="I78" s="56"/>
      <c r="J78" s="494"/>
      <c r="K78" s="955"/>
      <c r="L78" s="644"/>
    </row>
    <row r="79" spans="1:12" s="111" customFormat="1" ht="13.35" customHeight="1" x14ac:dyDescent="0.25">
      <c r="A79" s="494"/>
      <c r="B79" s="108"/>
      <c r="C79" s="110"/>
      <c r="D79" s="110"/>
      <c r="E79" s="109"/>
      <c r="F79" s="875"/>
      <c r="G79" s="109"/>
      <c r="H79" s="866" t="str">
        <f t="shared" si="1"/>
        <v/>
      </c>
      <c r="I79" s="56"/>
      <c r="J79" s="494"/>
      <c r="K79" s="955"/>
      <c r="L79" s="644"/>
    </row>
    <row r="80" spans="1:12" s="111" customFormat="1" ht="13.35" customHeight="1" x14ac:dyDescent="0.25">
      <c r="A80" s="494"/>
      <c r="B80" s="108"/>
      <c r="C80" s="110"/>
      <c r="D80" s="110"/>
      <c r="E80" s="109"/>
      <c r="F80" s="875"/>
      <c r="G80" s="109"/>
      <c r="H80" s="866" t="str">
        <f t="shared" si="1"/>
        <v/>
      </c>
      <c r="I80" s="56"/>
      <c r="J80" s="494"/>
      <c r="K80" s="955"/>
      <c r="L80" s="644"/>
    </row>
    <row r="81" spans="1:12" s="106" customFormat="1" ht="13.35" customHeight="1" x14ac:dyDescent="0.25">
      <c r="A81" s="495"/>
      <c r="B81" s="108"/>
      <c r="C81" s="110"/>
      <c r="D81" s="110"/>
      <c r="E81" s="109"/>
      <c r="F81" s="875"/>
      <c r="G81" s="109"/>
      <c r="H81" s="866" t="str">
        <f t="shared" si="1"/>
        <v/>
      </c>
      <c r="I81" s="56"/>
      <c r="J81" s="495"/>
      <c r="K81" s="955"/>
      <c r="L81" s="956"/>
    </row>
    <row r="82" spans="1:12" s="106" customFormat="1" ht="13.35" customHeight="1" x14ac:dyDescent="0.25">
      <c r="A82" s="495"/>
      <c r="B82" s="108"/>
      <c r="C82" s="110"/>
      <c r="D82" s="110"/>
      <c r="E82" s="109"/>
      <c r="F82" s="875"/>
      <c r="G82" s="109"/>
      <c r="H82" s="866" t="str">
        <f t="shared" si="1"/>
        <v/>
      </c>
      <c r="I82" s="56"/>
      <c r="J82" s="495"/>
      <c r="K82" s="955"/>
      <c r="L82" s="956"/>
    </row>
    <row r="83" spans="1:12" s="106" customFormat="1" ht="13.35" customHeight="1" x14ac:dyDescent="0.25">
      <c r="A83" s="495"/>
      <c r="B83" s="108"/>
      <c r="C83" s="110"/>
      <c r="D83" s="110"/>
      <c r="E83" s="109"/>
      <c r="F83" s="875"/>
      <c r="G83" s="109"/>
      <c r="H83" s="866" t="str">
        <f t="shared" si="1"/>
        <v/>
      </c>
      <c r="I83" s="56"/>
      <c r="J83" s="495"/>
      <c r="K83" s="955"/>
      <c r="L83" s="956"/>
    </row>
    <row r="84" spans="1:12" s="106" customFormat="1" ht="13.35" customHeight="1" x14ac:dyDescent="0.25">
      <c r="A84" s="495"/>
      <c r="B84" s="108"/>
      <c r="C84" s="110"/>
      <c r="D84" s="110"/>
      <c r="E84" s="109"/>
      <c r="F84" s="875"/>
      <c r="G84" s="109"/>
      <c r="H84" s="866" t="str">
        <f t="shared" si="1"/>
        <v/>
      </c>
      <c r="I84" s="56"/>
      <c r="J84" s="495"/>
      <c r="K84" s="955"/>
      <c r="L84" s="956"/>
    </row>
    <row r="85" spans="1:12" s="106" customFormat="1" ht="13.35" customHeight="1" x14ac:dyDescent="0.25">
      <c r="A85" s="495"/>
      <c r="B85" s="108"/>
      <c r="C85" s="110"/>
      <c r="D85" s="110"/>
      <c r="E85" s="109"/>
      <c r="F85" s="875"/>
      <c r="G85" s="109"/>
      <c r="H85" s="866" t="str">
        <f t="shared" si="1"/>
        <v/>
      </c>
      <c r="I85" s="56"/>
      <c r="J85" s="495"/>
      <c r="K85" s="955"/>
      <c r="L85" s="956"/>
    </row>
    <row r="86" spans="1:12" s="111" customFormat="1" ht="13.35" customHeight="1" x14ac:dyDescent="0.25">
      <c r="A86" s="494"/>
      <c r="B86" s="108"/>
      <c r="C86" s="110"/>
      <c r="D86" s="110"/>
      <c r="E86" s="109"/>
      <c r="F86" s="875"/>
      <c r="G86" s="109"/>
      <c r="H86" s="866" t="str">
        <f t="shared" si="1"/>
        <v/>
      </c>
      <c r="I86" s="56"/>
      <c r="J86" s="494"/>
      <c r="K86" s="955"/>
      <c r="L86" s="644"/>
    </row>
    <row r="87" spans="1:12" s="111" customFormat="1" ht="13.35" customHeight="1" x14ac:dyDescent="0.25">
      <c r="A87" s="494"/>
      <c r="B87" s="108"/>
      <c r="C87" s="110"/>
      <c r="D87" s="110"/>
      <c r="E87" s="109"/>
      <c r="F87" s="875"/>
      <c r="G87" s="109"/>
      <c r="H87" s="866" t="str">
        <f t="shared" si="1"/>
        <v/>
      </c>
      <c r="I87" s="56"/>
      <c r="J87" s="494"/>
      <c r="K87" s="955"/>
      <c r="L87" s="644"/>
    </row>
    <row r="88" spans="1:12" s="111" customFormat="1" ht="13.35" customHeight="1" x14ac:dyDescent="0.25">
      <c r="A88" s="494"/>
      <c r="B88" s="108"/>
      <c r="C88" s="110"/>
      <c r="D88" s="110"/>
      <c r="E88" s="109"/>
      <c r="F88" s="875"/>
      <c r="G88" s="109"/>
      <c r="H88" s="866" t="str">
        <f t="shared" si="1"/>
        <v/>
      </c>
      <c r="I88" s="56"/>
      <c r="J88" s="494"/>
      <c r="K88" s="955"/>
      <c r="L88" s="644"/>
    </row>
    <row r="89" spans="1:12" s="111" customFormat="1" ht="13.35" customHeight="1" x14ac:dyDescent="0.25">
      <c r="A89" s="494"/>
      <c r="B89" s="108"/>
      <c r="C89" s="110"/>
      <c r="D89" s="110"/>
      <c r="E89" s="109"/>
      <c r="F89" s="875"/>
      <c r="G89" s="109"/>
      <c r="H89" s="866" t="str">
        <f t="shared" si="1"/>
        <v/>
      </c>
      <c r="I89" s="56"/>
      <c r="J89" s="494"/>
      <c r="K89" s="955"/>
      <c r="L89" s="644"/>
    </row>
    <row r="90" spans="1:12" s="111" customFormat="1" ht="13.35" customHeight="1" x14ac:dyDescent="0.25">
      <c r="A90" s="494"/>
      <c r="B90" s="108"/>
      <c r="C90" s="110"/>
      <c r="D90" s="110"/>
      <c r="E90" s="109"/>
      <c r="F90" s="875"/>
      <c r="G90" s="109"/>
      <c r="H90" s="866" t="str">
        <f t="shared" si="1"/>
        <v/>
      </c>
      <c r="I90" s="56"/>
      <c r="J90" s="494"/>
      <c r="K90" s="955"/>
      <c r="L90" s="644"/>
    </row>
    <row r="91" spans="1:12" s="111" customFormat="1" ht="13.35" customHeight="1" x14ac:dyDescent="0.25">
      <c r="A91" s="494"/>
      <c r="B91" s="108"/>
      <c r="C91" s="110"/>
      <c r="D91" s="110"/>
      <c r="E91" s="109"/>
      <c r="F91" s="875"/>
      <c r="G91" s="109"/>
      <c r="H91" s="866" t="str">
        <f t="shared" si="1"/>
        <v/>
      </c>
      <c r="I91" s="56"/>
      <c r="J91" s="494"/>
      <c r="K91" s="955"/>
      <c r="L91" s="644"/>
    </row>
    <row r="92" spans="1:12" s="111" customFormat="1" ht="13.35" customHeight="1" x14ac:dyDescent="0.25">
      <c r="A92" s="494"/>
      <c r="B92" s="108"/>
      <c r="C92" s="110"/>
      <c r="D92" s="110"/>
      <c r="E92" s="109"/>
      <c r="F92" s="875"/>
      <c r="G92" s="109"/>
      <c r="H92" s="866" t="str">
        <f t="shared" si="1"/>
        <v/>
      </c>
      <c r="I92" s="56"/>
      <c r="J92" s="494"/>
      <c r="K92" s="955"/>
      <c r="L92" s="644"/>
    </row>
    <row r="93" spans="1:12" s="111" customFormat="1" ht="13.35" customHeight="1" x14ac:dyDescent="0.25">
      <c r="A93" s="494"/>
      <c r="B93" s="108"/>
      <c r="C93" s="110"/>
      <c r="D93" s="110"/>
      <c r="E93" s="109"/>
      <c r="F93" s="875"/>
      <c r="G93" s="109"/>
      <c r="H93" s="866" t="str">
        <f t="shared" si="1"/>
        <v/>
      </c>
      <c r="I93" s="56"/>
      <c r="J93" s="494"/>
      <c r="K93" s="955"/>
      <c r="L93" s="644"/>
    </row>
    <row r="94" spans="1:12" s="111" customFormat="1" ht="13.35" customHeight="1" x14ac:dyDescent="0.25">
      <c r="A94" s="494"/>
      <c r="B94" s="108"/>
      <c r="C94" s="110"/>
      <c r="D94" s="110"/>
      <c r="E94" s="109"/>
      <c r="F94" s="875"/>
      <c r="G94" s="109"/>
      <c r="H94" s="866" t="str">
        <f t="shared" si="1"/>
        <v/>
      </c>
      <c r="I94" s="56"/>
      <c r="J94" s="494"/>
      <c r="K94" s="955"/>
      <c r="L94" s="644"/>
    </row>
    <row r="95" spans="1:12" s="111" customFormat="1" ht="13.35" customHeight="1" x14ac:dyDescent="0.25">
      <c r="A95" s="494"/>
      <c r="B95" s="108"/>
      <c r="C95" s="110"/>
      <c r="D95" s="110"/>
      <c r="E95" s="109"/>
      <c r="F95" s="875"/>
      <c r="G95" s="109"/>
      <c r="H95" s="866" t="str">
        <f t="shared" si="1"/>
        <v/>
      </c>
      <c r="I95" s="56"/>
      <c r="J95" s="494"/>
      <c r="K95" s="955"/>
      <c r="L95" s="644"/>
    </row>
    <row r="96" spans="1:12" s="111" customFormat="1" ht="13.35" customHeight="1" x14ac:dyDescent="0.25">
      <c r="A96" s="494"/>
      <c r="B96" s="108"/>
      <c r="C96" s="110"/>
      <c r="D96" s="110"/>
      <c r="E96" s="109"/>
      <c r="F96" s="875"/>
      <c r="G96" s="109"/>
      <c r="H96" s="866" t="str">
        <f t="shared" si="1"/>
        <v/>
      </c>
      <c r="I96" s="56"/>
      <c r="J96" s="494"/>
      <c r="K96" s="955"/>
      <c r="L96" s="644"/>
    </row>
    <row r="97" spans="1:12" s="111" customFormat="1" ht="13.35" customHeight="1" x14ac:dyDescent="0.25">
      <c r="A97" s="494"/>
      <c r="B97" s="108"/>
      <c r="C97" s="110"/>
      <c r="D97" s="110"/>
      <c r="E97" s="109"/>
      <c r="F97" s="875"/>
      <c r="G97" s="109"/>
      <c r="H97" s="866" t="str">
        <f t="shared" ref="H97:H112" si="2">IF( AND(F97&lt;&gt;"",ISNUMBER(G97)),  IFERROR( G97 * INDEX(CNTR_FuelListEFprelimInclStd,MATCH( F97,  CNTR_FuelListNamesInclStd,0))  * IF(INDEX(CNTR_FuelListIsZeroInclStd,MATCH( F97,  CNTR_FuelListNamesInclStd,0)) =TRUE, 0, 1),  "--"),  "")</f>
        <v/>
      </c>
      <c r="I97" s="56"/>
      <c r="J97" s="494"/>
      <c r="K97" s="955"/>
      <c r="L97" s="644"/>
    </row>
    <row r="98" spans="1:12" s="111" customFormat="1" ht="13.35" customHeight="1" x14ac:dyDescent="0.25">
      <c r="A98" s="494"/>
      <c r="B98" s="108"/>
      <c r="C98" s="110"/>
      <c r="D98" s="110"/>
      <c r="E98" s="109"/>
      <c r="F98" s="875"/>
      <c r="G98" s="109"/>
      <c r="H98" s="866" t="str">
        <f t="shared" si="2"/>
        <v/>
      </c>
      <c r="I98" s="56"/>
      <c r="J98" s="494"/>
      <c r="K98" s="955"/>
      <c r="L98" s="644"/>
    </row>
    <row r="99" spans="1:12" s="111" customFormat="1" ht="13.35" customHeight="1" x14ac:dyDescent="0.25">
      <c r="A99" s="494"/>
      <c r="B99" s="108"/>
      <c r="C99" s="110"/>
      <c r="D99" s="110"/>
      <c r="E99" s="109"/>
      <c r="F99" s="875"/>
      <c r="G99" s="109"/>
      <c r="H99" s="866" t="str">
        <f t="shared" si="2"/>
        <v/>
      </c>
      <c r="I99" s="56"/>
      <c r="J99" s="494"/>
      <c r="K99" s="955"/>
      <c r="L99" s="644"/>
    </row>
    <row r="100" spans="1:12" s="111" customFormat="1" ht="13.35" customHeight="1" x14ac:dyDescent="0.25">
      <c r="A100" s="494"/>
      <c r="B100" s="108"/>
      <c r="C100" s="110"/>
      <c r="D100" s="110"/>
      <c r="E100" s="109"/>
      <c r="F100" s="875"/>
      <c r="G100" s="109"/>
      <c r="H100" s="866" t="str">
        <f t="shared" si="2"/>
        <v/>
      </c>
      <c r="I100" s="56"/>
      <c r="J100" s="494"/>
      <c r="K100" s="955"/>
      <c r="L100" s="644"/>
    </row>
    <row r="101" spans="1:12" s="111" customFormat="1" ht="13.35" customHeight="1" x14ac:dyDescent="0.25">
      <c r="A101" s="494"/>
      <c r="B101" s="108"/>
      <c r="C101" s="110"/>
      <c r="D101" s="110"/>
      <c r="E101" s="109"/>
      <c r="F101" s="875"/>
      <c r="G101" s="109"/>
      <c r="H101" s="866" t="str">
        <f t="shared" si="2"/>
        <v/>
      </c>
      <c r="I101" s="56"/>
      <c r="J101" s="494"/>
      <c r="K101" s="955"/>
      <c r="L101" s="644"/>
    </row>
    <row r="102" spans="1:12" s="111" customFormat="1" ht="13.35" customHeight="1" x14ac:dyDescent="0.25">
      <c r="A102" s="494"/>
      <c r="B102" s="108"/>
      <c r="C102" s="110"/>
      <c r="D102" s="110"/>
      <c r="E102" s="109"/>
      <c r="F102" s="875"/>
      <c r="G102" s="109"/>
      <c r="H102" s="866" t="str">
        <f t="shared" si="2"/>
        <v/>
      </c>
      <c r="I102" s="56"/>
      <c r="J102" s="494"/>
      <c r="K102" s="955"/>
      <c r="L102" s="644"/>
    </row>
    <row r="103" spans="1:12" s="111" customFormat="1" ht="13.35" customHeight="1" x14ac:dyDescent="0.25">
      <c r="A103" s="494"/>
      <c r="B103" s="108"/>
      <c r="C103" s="110"/>
      <c r="D103" s="110"/>
      <c r="E103" s="109"/>
      <c r="F103" s="875"/>
      <c r="G103" s="109"/>
      <c r="H103" s="866" t="str">
        <f t="shared" si="2"/>
        <v/>
      </c>
      <c r="I103" s="56"/>
      <c r="J103" s="494"/>
      <c r="K103" s="955"/>
      <c r="L103" s="644"/>
    </row>
    <row r="104" spans="1:12" s="111" customFormat="1" ht="13.35" customHeight="1" x14ac:dyDescent="0.25">
      <c r="A104" s="494"/>
      <c r="B104" s="108"/>
      <c r="C104" s="110"/>
      <c r="D104" s="110"/>
      <c r="E104" s="109"/>
      <c r="F104" s="875"/>
      <c r="G104" s="109"/>
      <c r="H104" s="866" t="str">
        <f t="shared" si="2"/>
        <v/>
      </c>
      <c r="I104" s="56"/>
      <c r="J104" s="494"/>
      <c r="K104" s="955"/>
      <c r="L104" s="644"/>
    </row>
    <row r="105" spans="1:12" s="111" customFormat="1" ht="13.35" customHeight="1" x14ac:dyDescent="0.25">
      <c r="A105" s="494"/>
      <c r="B105" s="108"/>
      <c r="C105" s="110"/>
      <c r="D105" s="110"/>
      <c r="E105" s="109"/>
      <c r="F105" s="875"/>
      <c r="G105" s="109"/>
      <c r="H105" s="866" t="str">
        <f t="shared" si="2"/>
        <v/>
      </c>
      <c r="I105" s="56"/>
      <c r="J105" s="494"/>
      <c r="K105" s="955"/>
      <c r="L105" s="644"/>
    </row>
    <row r="106" spans="1:12" s="111" customFormat="1" ht="13.35" customHeight="1" x14ac:dyDescent="0.25">
      <c r="A106" s="494"/>
      <c r="B106" s="108"/>
      <c r="C106" s="110"/>
      <c r="D106" s="110"/>
      <c r="E106" s="109"/>
      <c r="F106" s="875"/>
      <c r="G106" s="109"/>
      <c r="H106" s="866" t="str">
        <f t="shared" si="2"/>
        <v/>
      </c>
      <c r="I106" s="56"/>
      <c r="J106" s="494"/>
      <c r="K106" s="955"/>
      <c r="L106" s="644"/>
    </row>
    <row r="107" spans="1:12" s="106" customFormat="1" ht="13.35" customHeight="1" x14ac:dyDescent="0.25">
      <c r="A107" s="495"/>
      <c r="B107" s="108"/>
      <c r="C107" s="110"/>
      <c r="D107" s="110"/>
      <c r="E107" s="109"/>
      <c r="F107" s="875"/>
      <c r="G107" s="109"/>
      <c r="H107" s="866" t="str">
        <f t="shared" si="2"/>
        <v/>
      </c>
      <c r="I107" s="56"/>
      <c r="J107" s="495"/>
      <c r="K107" s="955"/>
      <c r="L107" s="956"/>
    </row>
    <row r="108" spans="1:12" s="106" customFormat="1" ht="13.35" customHeight="1" x14ac:dyDescent="0.25">
      <c r="A108" s="495"/>
      <c r="B108" s="108"/>
      <c r="C108" s="110"/>
      <c r="D108" s="110"/>
      <c r="E108" s="109"/>
      <c r="F108" s="875"/>
      <c r="G108" s="109"/>
      <c r="H108" s="866" t="str">
        <f t="shared" si="2"/>
        <v/>
      </c>
      <c r="I108" s="56"/>
      <c r="J108" s="495"/>
      <c r="K108" s="955"/>
      <c r="L108" s="956"/>
    </row>
    <row r="109" spans="1:12" s="106" customFormat="1" ht="13.35" customHeight="1" x14ac:dyDescent="0.25">
      <c r="A109" s="495"/>
      <c r="B109" s="108"/>
      <c r="C109" s="110"/>
      <c r="D109" s="110"/>
      <c r="E109" s="109"/>
      <c r="F109" s="875"/>
      <c r="G109" s="109"/>
      <c r="H109" s="866" t="str">
        <f t="shared" si="2"/>
        <v/>
      </c>
      <c r="I109" s="56"/>
      <c r="J109" s="495"/>
      <c r="K109" s="955"/>
      <c r="L109" s="956"/>
    </row>
    <row r="110" spans="1:12" s="106" customFormat="1" ht="13.35" customHeight="1" x14ac:dyDescent="0.25">
      <c r="A110" s="495"/>
      <c r="B110" s="108"/>
      <c r="C110" s="110"/>
      <c r="D110" s="110"/>
      <c r="E110" s="109"/>
      <c r="F110" s="875"/>
      <c r="G110" s="109"/>
      <c r="H110" s="866" t="str">
        <f t="shared" si="2"/>
        <v/>
      </c>
      <c r="I110" s="56"/>
      <c r="J110" s="495"/>
      <c r="K110" s="955"/>
      <c r="L110" s="956"/>
    </row>
    <row r="111" spans="1:12" s="106" customFormat="1" ht="13.35" customHeight="1" x14ac:dyDescent="0.25">
      <c r="A111" s="495"/>
      <c r="B111" s="108"/>
      <c r="C111" s="110"/>
      <c r="D111" s="110"/>
      <c r="E111" s="109"/>
      <c r="F111" s="875"/>
      <c r="G111" s="109"/>
      <c r="H111" s="866" t="str">
        <f t="shared" si="2"/>
        <v/>
      </c>
      <c r="I111" s="56"/>
      <c r="J111" s="495"/>
      <c r="K111" s="955"/>
      <c r="L111" s="956"/>
    </row>
    <row r="112" spans="1:12" s="106" customFormat="1" ht="13.35" customHeight="1" x14ac:dyDescent="0.25">
      <c r="A112" s="495"/>
      <c r="B112" s="108"/>
      <c r="C112" s="110"/>
      <c r="D112" s="110"/>
      <c r="E112" s="109"/>
      <c r="F112" s="875"/>
      <c r="G112" s="109"/>
      <c r="H112" s="866" t="str">
        <f t="shared" si="2"/>
        <v/>
      </c>
      <c r="I112" s="56"/>
      <c r="J112" s="495"/>
      <c r="K112" s="955"/>
      <c r="L112" s="956"/>
    </row>
    <row r="113" spans="1:12" s="106" customFormat="1" ht="13.35" customHeight="1" x14ac:dyDescent="0.25">
      <c r="A113" s="495"/>
      <c r="B113" s="108"/>
      <c r="C113" s="107" t="str">
        <f>Translations!$B$1024</f>
        <v>end of list</v>
      </c>
      <c r="D113" s="107" t="str">
        <f>Translations!$B$1024</f>
        <v>end of list</v>
      </c>
      <c r="E113" s="876" t="str">
        <f>Translations!$B$1024</f>
        <v>end of list</v>
      </c>
      <c r="F113" s="876" t="str">
        <f>Translations!$B$1024</f>
        <v>end of list</v>
      </c>
      <c r="G113" s="876" t="str">
        <f>Translations!$B$1024</f>
        <v>end of list</v>
      </c>
      <c r="H113" s="876" t="str">
        <f>Translations!$B$1024</f>
        <v>end of list</v>
      </c>
      <c r="I113" s="56"/>
      <c r="J113" s="495"/>
      <c r="K113" s="955"/>
      <c r="L113" s="956"/>
    </row>
    <row r="114" spans="1:12" ht="13.35" customHeight="1" x14ac:dyDescent="0.25">
      <c r="A114" s="492"/>
      <c r="E114" s="105"/>
      <c r="F114" s="105"/>
      <c r="G114" s="105"/>
      <c r="H114" s="105"/>
      <c r="J114" s="492"/>
      <c r="K114" s="914"/>
      <c r="L114" s="496"/>
    </row>
    <row r="115" spans="1:12" s="68" customFormat="1" ht="15.6" x14ac:dyDescent="0.25">
      <c r="A115" s="485"/>
      <c r="B115" s="104"/>
      <c r="C115" s="103" t="str">
        <f>Translations!$B$1025</f>
        <v>Totals:</v>
      </c>
      <c r="D115" s="103"/>
      <c r="E115" s="103"/>
      <c r="F115" s="103"/>
      <c r="G115" s="103"/>
      <c r="H115" s="103"/>
      <c r="I115" s="56"/>
      <c r="J115" s="485"/>
      <c r="K115" s="914"/>
      <c r="L115" s="312"/>
    </row>
    <row r="116" spans="1:12" s="101" customFormat="1" ht="26.4" customHeight="1" x14ac:dyDescent="0.25">
      <c r="A116" s="493"/>
      <c r="C116" s="57"/>
      <c r="D116" s="102"/>
      <c r="E116" s="825" t="str">
        <f>Translations!$B$1026</f>
        <v>Total number of flights</v>
      </c>
      <c r="F116" s="825"/>
      <c r="G116" s="825" t="s">
        <v>1980</v>
      </c>
      <c r="H116" s="825" t="str">
        <f>Translations!$B$1021</f>
        <v>Total emissions
[t CO2]</v>
      </c>
      <c r="I116" s="56"/>
      <c r="J116" s="493"/>
      <c r="K116" s="954"/>
      <c r="L116" s="483"/>
    </row>
    <row r="117" spans="1:12" x14ac:dyDescent="0.25">
      <c r="A117" s="492"/>
      <c r="C117" s="100" t="str">
        <f>Translations!$B$1027</f>
        <v>Reporting year totals:</v>
      </c>
      <c r="D117" s="99"/>
      <c r="E117" s="884">
        <f>SUM(E33:E113)</f>
        <v>0</v>
      </c>
      <c r="F117" s="885"/>
      <c r="G117" s="884">
        <f>SUM(G33:G113)</f>
        <v>20197</v>
      </c>
      <c r="H117" s="884">
        <f>ROUND(SUM(H33:H113),0)</f>
        <v>63522</v>
      </c>
      <c r="J117" s="492"/>
      <c r="K117" s="914"/>
      <c r="L117" s="496"/>
    </row>
    <row r="118" spans="1:12" x14ac:dyDescent="0.25">
      <c r="A118" s="492"/>
      <c r="C118" s="100" t="str">
        <f>Translations!$B$1028</f>
        <v>Compare data entered in section 5:</v>
      </c>
      <c r="D118" s="99"/>
      <c r="E118" s="884">
        <f>INDICATOR_ETS_TotalFlights</f>
        <v>0</v>
      </c>
      <c r="F118" s="885"/>
      <c r="G118" s="884">
        <f>SUM('Emissions overview'!I143:I160,'Emissions overview'!I182:I199)</f>
        <v>20197</v>
      </c>
      <c r="H118" s="884">
        <f>SUM(INDICATOR_ETS_TotalEmissions,INDICATOR_CHETS_TotalEmissions)</f>
        <v>63522</v>
      </c>
      <c r="J118" s="492"/>
      <c r="K118" s="914"/>
      <c r="L118" s="496"/>
    </row>
  </sheetData>
  <sheetProtection sheet="1" objects="1" scenarios="1" formatCells="0" formatColumns="0" formatRows="0" insertColumns="0" insertRows="0"/>
  <mergeCells count="29">
    <mergeCell ref="B2:H2"/>
    <mergeCell ref="C23:H23"/>
    <mergeCell ref="C24:H24"/>
    <mergeCell ref="C26:H26"/>
    <mergeCell ref="C5:H5"/>
    <mergeCell ref="C6:H6"/>
    <mergeCell ref="C7:H7"/>
    <mergeCell ref="C8:H8"/>
    <mergeCell ref="C9:H9"/>
    <mergeCell ref="C13:H13"/>
    <mergeCell ref="C14:H14"/>
    <mergeCell ref="C18:H18"/>
    <mergeCell ref="C19:H19"/>
    <mergeCell ref="C22:H22"/>
    <mergeCell ref="E21:H21"/>
    <mergeCell ref="C10:H10"/>
    <mergeCell ref="C15:H15"/>
    <mergeCell ref="C16:H16"/>
    <mergeCell ref="C17:H17"/>
    <mergeCell ref="C20:H20"/>
    <mergeCell ref="F31:F32"/>
    <mergeCell ref="G31:G32"/>
    <mergeCell ref="C25:H25"/>
    <mergeCell ref="C27:H27"/>
    <mergeCell ref="C28:H28"/>
    <mergeCell ref="C31:D31"/>
    <mergeCell ref="E31:E32"/>
    <mergeCell ref="H31:H32"/>
    <mergeCell ref="C29:H29"/>
  </mergeCells>
  <conditionalFormatting sqref="B29:C29 B30:H118">
    <cfRule type="expression" dxfId="40" priority="1">
      <formula>CONTR_onlyCORSIA=TRUE</formula>
    </cfRule>
  </conditionalFormatting>
  <conditionalFormatting sqref="B5:H28">
    <cfRule type="expression" dxfId="39" priority="2">
      <formula>CONTR_onlyCORSIA=TRUE</formula>
    </cfRule>
  </conditionalFormatting>
  <conditionalFormatting sqref="C14:H18 E21:F21">
    <cfRule type="expression" dxfId="38" priority="7">
      <formula>AND(NOT(ISBLANK(INDICATOR_EUETSAnnexConfidential)),INDICATOR_EUETSAnnexConfidential=FALSE)</formula>
    </cfRule>
  </conditionalFormatting>
  <dataValidations count="2">
    <dataValidation type="list" allowBlank="1" showInputMessage="1" showErrorMessage="1" sqref="H11" xr:uid="{00000000-0002-0000-0900-000000000000}">
      <formula1>TrueFalse</formula1>
    </dataValidation>
    <dataValidation type="list" allowBlank="1" showInputMessage="1" showErrorMessage="1" sqref="F33:F112" xr:uid="{00000000-0002-0000-0900-000001000000}">
      <formula1>INDIRECT(CNTR_FuelSelectionInclStd)</formula1>
    </dataValidation>
  </dataValidations>
  <pageMargins left="0.78740157480314965" right="0.78740157480314965" top="0.78740157480314965" bottom="0.78740157480314965" header="0.39370078740157483" footer="0.39370078740157483"/>
  <pageSetup paperSize="9" scale="90" fitToHeight="2" orientation="portrait" r:id="rId1"/>
  <headerFooter alignWithMargins="0">
    <oddFooter>&amp;L&amp;F&amp;C&amp;A&amp;R&amp;P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4">
    <tabColor rgb="FF92D050"/>
    <pageSetUpPr fitToPage="1"/>
  </sheetPr>
  <dimension ref="A1:L121"/>
  <sheetViews>
    <sheetView showGridLines="0" topLeftCell="A5" zoomScale="115" zoomScaleNormal="115" workbookViewId="0"/>
  </sheetViews>
  <sheetFormatPr defaultColWidth="11.44140625" defaultRowHeight="13.2" x14ac:dyDescent="0.25"/>
  <cols>
    <col min="1" max="1" width="4" style="550" customWidth="1"/>
    <col min="2" max="2" width="4.5546875" style="602" customWidth="1"/>
    <col min="3" max="7" width="17.5546875" style="602" customWidth="1"/>
    <col min="8" max="8" width="4" style="56" customWidth="1"/>
    <col min="9" max="16384" width="11.44140625" style="56"/>
  </cols>
  <sheetData>
    <row r="1" spans="1:12" x14ac:dyDescent="0.25">
      <c r="B1" s="601"/>
      <c r="E1" s="603"/>
      <c r="F1" s="603"/>
    </row>
    <row r="2" spans="1:12" ht="17.399999999999999" x14ac:dyDescent="0.25">
      <c r="B2" s="1325" t="str">
        <f>Translations!$B$1365</f>
        <v>Annex: Emissions reporting - only 2023</v>
      </c>
      <c r="C2" s="1325"/>
      <c r="D2" s="1325"/>
      <c r="E2" s="1325"/>
      <c r="F2" s="1325"/>
      <c r="G2" s="1325"/>
    </row>
    <row r="3" spans="1:12" x14ac:dyDescent="0.25">
      <c r="B3" s="601"/>
      <c r="E3" s="603"/>
      <c r="F3" s="603"/>
    </row>
    <row r="4" spans="1:12" ht="15.6" x14ac:dyDescent="0.25">
      <c r="A4" s="551"/>
      <c r="B4" s="604" t="s">
        <v>7</v>
      </c>
      <c r="C4" s="1326" t="str">
        <f>Translations!$B$1328</f>
        <v>2023 Emissions for calculation of free allocation in 2024 and 2025</v>
      </c>
      <c r="D4" s="1326"/>
      <c r="E4" s="1326"/>
      <c r="F4" s="1326"/>
      <c r="G4" s="1326"/>
      <c r="H4" s="551"/>
    </row>
    <row r="5" spans="1:12" s="68" customFormat="1" ht="5.0999999999999996" customHeight="1" x14ac:dyDescent="0.25">
      <c r="A5" s="552"/>
      <c r="B5" s="605"/>
      <c r="C5" s="1248"/>
      <c r="D5" s="1014"/>
      <c r="E5" s="1014"/>
      <c r="F5" s="1014"/>
      <c r="G5" s="1014"/>
      <c r="H5" s="552"/>
      <c r="I5" s="56"/>
      <c r="J5" s="56"/>
      <c r="K5" s="56"/>
      <c r="L5" s="56"/>
    </row>
    <row r="6" spans="1:12" s="68" customFormat="1" ht="53.1" customHeight="1" x14ac:dyDescent="0.25">
      <c r="A6" s="552"/>
      <c r="B6" s="605"/>
      <c r="C6" s="1217" t="str">
        <f>Translations!$B$1366</f>
        <v>The EU ETS Directive as amended by Directive (EU) 2023/958, provides for free allocation to aircraft operators in the years 2024 and 2025. The free allowances will be allocated to aircarft operators proportionately to their share of verified emissions from aviation activities reported for 2023. That calculation shall take into account verified emissions from aviation activities reported in respect of flights that are covered by the EU ETS from 1 January 2024.</v>
      </c>
      <c r="D6" s="1316"/>
      <c r="E6" s="1316"/>
      <c r="F6" s="1316"/>
      <c r="G6" s="1316"/>
      <c r="H6" s="552"/>
      <c r="I6" s="957" t="s">
        <v>257</v>
      </c>
      <c r="J6" s="56"/>
      <c r="K6" s="56"/>
      <c r="L6" s="56"/>
    </row>
    <row r="7" spans="1:12" s="68" customFormat="1" ht="26.4" customHeight="1" x14ac:dyDescent="0.25">
      <c r="A7" s="552"/>
      <c r="B7" s="605"/>
      <c r="C7" s="1217" t="str">
        <f>Translations!$B$1367</f>
        <v>This Annex shall be used to report the total 2023 emissions in respect of flights that are covered by the EU ETS from 1 January 2024 in order to allow for the calulation of free allocations for 2024 and 2025.</v>
      </c>
      <c r="D7" s="1316"/>
      <c r="E7" s="1316"/>
      <c r="F7" s="1316"/>
      <c r="G7" s="1316"/>
      <c r="H7" s="552"/>
      <c r="I7" s="56"/>
      <c r="J7" s="56"/>
      <c r="K7" s="56"/>
      <c r="L7" s="56"/>
    </row>
    <row r="8" spans="1:12" s="68" customFormat="1" ht="26.4" customHeight="1" x14ac:dyDescent="0.25">
      <c r="A8" s="552"/>
      <c r="B8" s="605"/>
      <c r="C8" s="1217" t="str">
        <f>Translations!$B$1368</f>
        <v>This reporting is voluntary. If you do not report the required data, the Competent Authority will substitute the data missing with estimated data from Eurocontrol.</v>
      </c>
      <c r="D8" s="1316"/>
      <c r="E8" s="1316"/>
      <c r="F8" s="1316"/>
      <c r="G8" s="1316"/>
      <c r="H8" s="552"/>
      <c r="I8" s="56"/>
      <c r="J8" s="56"/>
      <c r="K8" s="56"/>
      <c r="L8" s="56"/>
    </row>
    <row r="9" spans="1:12" s="68" customFormat="1" ht="13.35" customHeight="1" x14ac:dyDescent="0.25">
      <c r="A9" s="552"/>
      <c r="B9" s="605"/>
      <c r="C9" s="1324" t="str">
        <f>Translations!$B$1369</f>
        <v>Which emissions should be reported here?</v>
      </c>
      <c r="D9" s="1315"/>
      <c r="E9" s="1315"/>
      <c r="F9" s="1315"/>
      <c r="G9" s="1315"/>
      <c r="H9" s="552"/>
      <c r="I9" s="56"/>
      <c r="J9" s="56"/>
      <c r="K9" s="56"/>
      <c r="L9" s="56"/>
    </row>
    <row r="10" spans="1:12" s="68" customFormat="1" ht="39.6" customHeight="1" x14ac:dyDescent="0.25">
      <c r="A10" s="552"/>
      <c r="B10" s="605"/>
      <c r="C10" s="1324" t="str">
        <f>Translations!$B$1370</f>
        <v>Total emissions reported in section (5)(c) (i.e. the total emissions 2023 for which allowances need to be surrendered) minus emissions from flights covered in 2023 but exempted in 2024 and 2025 plus emissions from flights not covered in 2023 but covered in 2024 and onwards.</v>
      </c>
      <c r="D10" s="1315"/>
      <c r="E10" s="1315"/>
      <c r="F10" s="1315"/>
      <c r="G10" s="1315"/>
      <c r="H10" s="552"/>
      <c r="I10" s="56"/>
      <c r="J10" s="56"/>
      <c r="K10" s="56"/>
      <c r="L10" s="56"/>
    </row>
    <row r="11" spans="1:12" s="68" customFormat="1" ht="13.35" customHeight="1" x14ac:dyDescent="0.25">
      <c r="A11" s="552"/>
      <c r="B11" s="605"/>
      <c r="C11" s="1217" t="str">
        <f>Translations!$B$1371</f>
        <v>Note that no allowances have to be surrendered in relation to this Annex.</v>
      </c>
      <c r="D11" s="1316"/>
      <c r="E11" s="1316"/>
      <c r="F11" s="1316"/>
      <c r="G11" s="1316"/>
      <c r="H11" s="552"/>
      <c r="I11" s="56"/>
      <c r="J11" s="56"/>
      <c r="K11" s="56"/>
      <c r="L11" s="56"/>
    </row>
    <row r="12" spans="1:12" s="68" customFormat="1" ht="5.0999999999999996" customHeight="1" x14ac:dyDescent="0.25">
      <c r="A12" s="552"/>
      <c r="B12" s="605"/>
      <c r="C12" s="1248"/>
      <c r="D12" s="1014"/>
      <c r="E12" s="1014"/>
      <c r="F12" s="1014"/>
      <c r="G12" s="1014"/>
      <c r="H12" s="552"/>
      <c r="I12" s="56"/>
      <c r="J12" s="56"/>
      <c r="K12" s="56"/>
      <c r="L12" s="56"/>
    </row>
    <row r="13" spans="1:12" ht="13.35" customHeight="1" x14ac:dyDescent="0.25">
      <c r="A13" s="551"/>
      <c r="B13" s="605" t="s">
        <v>33</v>
      </c>
      <c r="C13" s="1327" t="str">
        <f>Translations!$B$1372</f>
        <v>Confidentiality of data in this Annex:</v>
      </c>
      <c r="D13" s="1014"/>
      <c r="E13" s="1014"/>
      <c r="F13" s="1014"/>
      <c r="G13" s="1014"/>
      <c r="H13" s="551"/>
    </row>
    <row r="14" spans="1:12" s="68" customFormat="1" ht="13.35" customHeight="1" x14ac:dyDescent="0.25">
      <c r="A14" s="552"/>
      <c r="B14" s="605"/>
      <c r="C14" s="1248" t="str">
        <f>Translations!$B$1373</f>
        <v>It is assumed that your inputs in section (11)(a) also apply to this section.</v>
      </c>
      <c r="D14" s="1330"/>
      <c r="E14" s="1330"/>
      <c r="F14" s="1330"/>
      <c r="G14" s="1330"/>
      <c r="H14" s="552"/>
      <c r="I14" s="56"/>
      <c r="J14" s="56"/>
      <c r="K14" s="56"/>
      <c r="L14" s="56"/>
    </row>
    <row r="15" spans="1:12" s="68" customFormat="1" ht="13.35" customHeight="1" x14ac:dyDescent="0.25">
      <c r="A15" s="552"/>
      <c r="B15" s="605"/>
      <c r="C15" s="1331" t="str">
        <f>Translations!$B$1374</f>
        <v>Click here to check content of section (11)(a)</v>
      </c>
      <c r="D15" s="1332"/>
      <c r="E15" s="1332"/>
      <c r="F15" s="1332"/>
      <c r="G15" s="1332"/>
      <c r="H15" s="556"/>
      <c r="I15" s="56"/>
      <c r="J15" s="56"/>
      <c r="K15" s="56"/>
      <c r="L15" s="56"/>
    </row>
    <row r="16" spans="1:12" s="68" customFormat="1" ht="5.0999999999999996" customHeight="1" x14ac:dyDescent="0.25">
      <c r="A16" s="552"/>
      <c r="B16" s="606"/>
      <c r="C16" s="607"/>
      <c r="D16" s="607"/>
      <c r="E16" s="607"/>
      <c r="F16" s="608"/>
      <c r="G16" s="608"/>
      <c r="H16" s="552"/>
      <c r="I16" s="56"/>
      <c r="J16" s="56"/>
      <c r="K16" s="56"/>
      <c r="L16" s="56"/>
    </row>
    <row r="17" spans="1:8" s="68" customFormat="1" ht="13.35" customHeight="1" thickBot="1" x14ac:dyDescent="0.3">
      <c r="A17" s="552"/>
      <c r="B17" s="605" t="s">
        <v>34</v>
      </c>
      <c r="C17" s="1317" t="str">
        <f>Translations!$B$1375</f>
        <v>Total 2023 Emissions for calculation of free allocation in 2024 and 2025:</v>
      </c>
      <c r="D17" s="1318"/>
      <c r="E17" s="1318"/>
      <c r="F17" s="1318"/>
      <c r="G17" s="609" t="str">
        <f>Translations!$B$1376</f>
        <v>t CO2 / year</v>
      </c>
      <c r="H17" s="552"/>
    </row>
    <row r="18" spans="1:8" s="68" customFormat="1" ht="13.35" customHeight="1" thickBot="1" x14ac:dyDescent="0.3">
      <c r="A18" s="552"/>
      <c r="B18" s="605"/>
      <c r="C18" s="1328" t="str">
        <f>Translations!$B$1377</f>
        <v>Total emissions reported in section (5)(c)</v>
      </c>
      <c r="D18" s="1329"/>
      <c r="E18" s="1329"/>
      <c r="F18" s="1314"/>
      <c r="G18" s="610">
        <f>IFERROR(G24,"")</f>
        <v>63522.32</v>
      </c>
      <c r="H18" s="552"/>
    </row>
    <row r="19" spans="1:8" s="68" customFormat="1" ht="13.35" customHeight="1" thickBot="1" x14ac:dyDescent="0.3">
      <c r="A19" s="552"/>
      <c r="B19" s="605"/>
      <c r="C19" s="1328" t="str">
        <f>Translations!$B$1378</f>
        <v>Emissions from flights covered in 2023 but exempted in 2024 and 2025</v>
      </c>
      <c r="D19" s="1329"/>
      <c r="E19" s="1329"/>
      <c r="F19" s="1314"/>
      <c r="G19" s="610">
        <f>IFERROR(G29,"")</f>
        <v>0</v>
      </c>
      <c r="H19" s="552"/>
    </row>
    <row r="20" spans="1:8" s="68" customFormat="1" ht="13.35" customHeight="1" thickBot="1" x14ac:dyDescent="0.3">
      <c r="A20" s="552"/>
      <c r="B20" s="605"/>
      <c r="C20" s="1328" t="str">
        <f>Translations!$B$1379</f>
        <v>Emissions from flights not covered in 2023 but covered in 2024 and onwards</v>
      </c>
      <c r="D20" s="1329"/>
      <c r="E20" s="1329"/>
      <c r="F20" s="1314"/>
      <c r="G20" s="610">
        <f>INDICATOR_Annex23EUETS_TotalEmissions</f>
        <v>0</v>
      </c>
      <c r="H20" s="552"/>
    </row>
    <row r="21" spans="1:8" s="68" customFormat="1" ht="13.35" customHeight="1" thickBot="1" x14ac:dyDescent="0.3">
      <c r="A21" s="552"/>
      <c r="B21" s="605"/>
      <c r="C21" s="1312" t="str">
        <f>Translations!$B$1380</f>
        <v>Total</v>
      </c>
      <c r="D21" s="1313"/>
      <c r="E21" s="1313"/>
      <c r="F21" s="1314"/>
      <c r="G21" s="611">
        <f>ROUND(SUM(G18)-SUM(G19)+SUM(G20),0)</f>
        <v>63522</v>
      </c>
      <c r="H21" s="552"/>
    </row>
    <row r="22" spans="1:8" s="68" customFormat="1" ht="13.35" customHeight="1" x14ac:dyDescent="0.25">
      <c r="A22" s="552"/>
      <c r="B22" s="605"/>
      <c r="C22" s="612"/>
      <c r="D22" s="613"/>
      <c r="E22" s="613"/>
      <c r="F22" s="613"/>
      <c r="G22" s="613"/>
      <c r="H22" s="552"/>
    </row>
    <row r="23" spans="1:8" s="68" customFormat="1" ht="13.35" customHeight="1" thickBot="1" x14ac:dyDescent="0.3">
      <c r="A23" s="552"/>
      <c r="B23" s="605" t="s">
        <v>258</v>
      </c>
      <c r="C23" s="1315" t="str">
        <f>Translations!$B$1377</f>
        <v>Total emissions reported in section (5)(c)</v>
      </c>
      <c r="D23" s="1316"/>
      <c r="E23" s="1316"/>
      <c r="F23" s="1316"/>
      <c r="G23" s="1316"/>
      <c r="H23" s="552"/>
    </row>
    <row r="24" spans="1:8" s="68" customFormat="1" ht="13.35" customHeight="1" thickBot="1" x14ac:dyDescent="0.3">
      <c r="A24" s="552"/>
      <c r="B24" s="605"/>
      <c r="C24" s="1322" t="str">
        <f>Translations!$B$1269</f>
        <v>Total CO2 emissions (EU ETS) in the reporting year:</v>
      </c>
      <c r="D24" s="1322"/>
      <c r="E24" s="1014"/>
      <c r="F24" s="1323"/>
      <c r="G24" s="611">
        <f>SUM(INDICATOR_5cETS_FuelsEmissionsCO2Em)</f>
        <v>63522.32</v>
      </c>
    </row>
    <row r="25" spans="1:8" s="68" customFormat="1" ht="13.35" customHeight="1" x14ac:dyDescent="0.25">
      <c r="A25" s="552"/>
      <c r="B25" s="605"/>
      <c r="C25" s="614"/>
      <c r="D25" s="614"/>
      <c r="E25" s="615"/>
      <c r="F25" s="616"/>
      <c r="G25" s="615"/>
    </row>
    <row r="26" spans="1:8" s="68" customFormat="1" ht="13.35" customHeight="1" x14ac:dyDescent="0.25">
      <c r="A26" s="552"/>
      <c r="B26" s="605" t="s">
        <v>259</v>
      </c>
      <c r="C26" s="1315" t="str">
        <f>Translations!$B$1378</f>
        <v>Emissions from flights covered in 2023 but exempted in 2024 and 2025</v>
      </c>
      <c r="D26" s="1316"/>
      <c r="E26" s="1316"/>
      <c r="F26" s="1316"/>
      <c r="G26" s="1316"/>
      <c r="H26" s="552"/>
    </row>
    <row r="27" spans="1:8" s="68" customFormat="1" ht="26.4" customHeight="1" x14ac:dyDescent="0.25">
      <c r="A27" s="552"/>
      <c r="B27" s="605"/>
      <c r="C27" s="1217" t="str">
        <f>Translations!$B$1381</f>
        <v>The flights covered in 2023 but exempted in 2024 and 2025 (exemption in place from 2024 to 2030) are: Flights between an aerodrome located in an outermost region of a Member State and another aerodrome located in the same outermost region.</v>
      </c>
      <c r="D27" s="1316"/>
      <c r="E27" s="1316"/>
      <c r="F27" s="1316"/>
      <c r="G27" s="1316"/>
      <c r="H27" s="552"/>
    </row>
    <row r="28" spans="1:8" s="68" customFormat="1" ht="13.35" customHeight="1" thickBot="1" x14ac:dyDescent="0.3">
      <c r="A28" s="552"/>
      <c r="B28" s="605"/>
      <c r="C28" s="1217" t="str">
        <f>Translations!$B$1382</f>
        <v>The data is already reported in section (11). Please enter here the aggregated total emissions stemming from these flights.</v>
      </c>
      <c r="D28" s="1316"/>
      <c r="E28" s="1316"/>
      <c r="F28" s="1316"/>
      <c r="G28" s="1316"/>
      <c r="H28" s="552"/>
    </row>
    <row r="29" spans="1:8" s="68" customFormat="1" ht="30" customHeight="1" thickBot="1" x14ac:dyDescent="0.3">
      <c r="A29" s="552"/>
      <c r="B29" s="605"/>
      <c r="C29" s="1321" t="str">
        <f>Translations!$B$1383</f>
        <v>Total CO2 emissions from flights covered in 2023 but exempted in 2024 and 2025</v>
      </c>
      <c r="D29" s="1321"/>
      <c r="E29" s="1028"/>
      <c r="F29" s="1014"/>
      <c r="G29" s="617"/>
      <c r="H29" s="552"/>
    </row>
    <row r="30" spans="1:8" s="68" customFormat="1" ht="5.0999999999999996" customHeight="1" x14ac:dyDescent="0.25">
      <c r="A30" s="552"/>
      <c r="B30" s="605"/>
      <c r="C30" s="614"/>
      <c r="D30" s="614"/>
      <c r="E30" s="618"/>
      <c r="F30" s="616"/>
      <c r="G30" s="613"/>
      <c r="H30" s="552"/>
    </row>
    <row r="31" spans="1:8" s="68" customFormat="1" ht="13.35" customHeight="1" x14ac:dyDescent="0.25">
      <c r="A31" s="552"/>
      <c r="B31" s="605" t="s">
        <v>260</v>
      </c>
      <c r="C31" s="1315" t="str">
        <f>Translations!$B$1379</f>
        <v>Emissions from flights not covered in 2023 but covered in 2024 and onwards</v>
      </c>
      <c r="D31" s="1316"/>
      <c r="E31" s="1316"/>
      <c r="F31" s="1316"/>
      <c r="G31" s="1316"/>
      <c r="H31" s="552"/>
    </row>
    <row r="32" spans="1:8" s="68" customFormat="1" ht="36.6" customHeight="1" x14ac:dyDescent="0.25">
      <c r="A32" s="552"/>
      <c r="B32" s="605"/>
      <c r="C32" s="1324" t="str">
        <f>Translations!$B$1384</f>
        <v>The flights not covered in 2023 but covered from 2024 onwards are: Flights between an aerodrome located in an outermost region and an aerodrome located in another region of the EEA, and flights departing from an aerodrome located in an outermost region and arriving in Switzerland or the United Kingdom.</v>
      </c>
      <c r="D32" s="1315"/>
      <c r="E32" s="1315"/>
      <c r="F32" s="1315"/>
      <c r="G32" s="1315"/>
      <c r="H32" s="552"/>
    </row>
    <row r="33" spans="1:8" s="68" customFormat="1" ht="25.5" customHeight="1" x14ac:dyDescent="0.25">
      <c r="A33" s="552"/>
      <c r="B33" s="605"/>
      <c r="C33" s="1217" t="str">
        <f>Translations!$B$1017</f>
        <v xml:space="preserve">Please fill in the table below. If you need additional rows, please insert them above the "end of list" row. In that case the formula for the totals will work correctly. </v>
      </c>
      <c r="D33" s="1316"/>
      <c r="E33" s="1316"/>
      <c r="F33" s="1316"/>
      <c r="G33" s="1316"/>
      <c r="H33" s="552"/>
    </row>
    <row r="34" spans="1:8" s="68" customFormat="1" ht="26.4" customHeight="1" x14ac:dyDescent="0.25">
      <c r="A34" s="552"/>
      <c r="B34" s="605"/>
      <c r="C34" s="1217" t="str">
        <f>Translations!$B$1018</f>
        <v>Note that if you add additional cells, and/or copy and paste data from another program or worksheet, you have to check the correctness of existing formulae. It is the full responsibility of the aircraft operator to check the correctness of calculations.</v>
      </c>
      <c r="D34" s="1316"/>
      <c r="E34" s="1316"/>
      <c r="F34" s="1316"/>
      <c r="G34" s="1316"/>
      <c r="H34" s="552"/>
    </row>
    <row r="35" spans="1:8" s="101" customFormat="1" ht="24.75" customHeight="1" x14ac:dyDescent="0.25">
      <c r="A35" s="553"/>
      <c r="B35" s="619"/>
      <c r="C35" s="1319" t="str">
        <f>Translations!$B$1019</f>
        <v>Aerodrome Pair (use 4-letter ICAO designator)</v>
      </c>
      <c r="D35" s="1320"/>
      <c r="E35" s="1319" t="str">
        <f>Translations!$B$1020</f>
        <v>Total number of flights per aerodrome pair</v>
      </c>
      <c r="F35" s="1319" t="str">
        <f>Translations!$B$1021</f>
        <v>Total emissions
[t CO2]</v>
      </c>
      <c r="G35" s="620"/>
      <c r="H35" s="553"/>
    </row>
    <row r="36" spans="1:8" s="101" customFormat="1" ht="13.35" customHeight="1" x14ac:dyDescent="0.25">
      <c r="A36" s="553"/>
      <c r="B36" s="619"/>
      <c r="C36" s="621" t="str">
        <f>Translations!$B$1022</f>
        <v>Aerodrome of departure</v>
      </c>
      <c r="D36" s="622" t="str">
        <f>Translations!$B$1023</f>
        <v>Aerodrome of arrival</v>
      </c>
      <c r="E36" s="1320"/>
      <c r="F36" s="1320"/>
      <c r="G36" s="619"/>
      <c r="H36" s="553"/>
    </row>
    <row r="37" spans="1:8" s="111" customFormat="1" ht="13.35" customHeight="1" x14ac:dyDescent="0.25">
      <c r="A37" s="554"/>
      <c r="B37" s="623"/>
      <c r="C37" s="624"/>
      <c r="D37" s="624"/>
      <c r="E37" s="625"/>
      <c r="F37" s="625"/>
      <c r="G37" s="626"/>
      <c r="H37" s="554"/>
    </row>
    <row r="38" spans="1:8" s="111" customFormat="1" ht="13.35" customHeight="1" x14ac:dyDescent="0.25">
      <c r="A38" s="554"/>
      <c r="B38" s="623"/>
      <c r="C38" s="624"/>
      <c r="D38" s="624"/>
      <c r="E38" s="625"/>
      <c r="F38" s="625"/>
      <c r="G38" s="626"/>
      <c r="H38" s="554"/>
    </row>
    <row r="39" spans="1:8" s="111" customFormat="1" ht="13.35" customHeight="1" x14ac:dyDescent="0.25">
      <c r="A39" s="554"/>
      <c r="B39" s="623"/>
      <c r="C39" s="624"/>
      <c r="D39" s="624"/>
      <c r="E39" s="625"/>
      <c r="F39" s="625"/>
      <c r="G39" s="626"/>
      <c r="H39" s="554"/>
    </row>
    <row r="40" spans="1:8" s="111" customFormat="1" ht="13.35" customHeight="1" x14ac:dyDescent="0.25">
      <c r="A40" s="554"/>
      <c r="B40" s="623"/>
      <c r="C40" s="624"/>
      <c r="D40" s="624"/>
      <c r="E40" s="625"/>
      <c r="F40" s="625"/>
      <c r="G40" s="626"/>
      <c r="H40" s="554"/>
    </row>
    <row r="41" spans="1:8" s="111" customFormat="1" ht="13.35" customHeight="1" x14ac:dyDescent="0.25">
      <c r="A41" s="554"/>
      <c r="B41" s="623"/>
      <c r="C41" s="624"/>
      <c r="D41" s="624"/>
      <c r="E41" s="625"/>
      <c r="F41" s="625"/>
      <c r="G41" s="626"/>
      <c r="H41" s="554"/>
    </row>
    <row r="42" spans="1:8" s="111" customFormat="1" ht="13.35" customHeight="1" x14ac:dyDescent="0.25">
      <c r="A42" s="554"/>
      <c r="B42" s="623"/>
      <c r="C42" s="624"/>
      <c r="D42" s="624"/>
      <c r="E42" s="625"/>
      <c r="F42" s="625"/>
      <c r="G42" s="626"/>
      <c r="H42" s="554"/>
    </row>
    <row r="43" spans="1:8" s="111" customFormat="1" ht="13.35" customHeight="1" x14ac:dyDescent="0.25">
      <c r="A43" s="554"/>
      <c r="B43" s="623"/>
      <c r="C43" s="624"/>
      <c r="D43" s="624"/>
      <c r="E43" s="625"/>
      <c r="F43" s="625"/>
      <c r="G43" s="626"/>
      <c r="H43" s="554"/>
    </row>
    <row r="44" spans="1:8" s="111" customFormat="1" ht="13.35" customHeight="1" x14ac:dyDescent="0.25">
      <c r="A44" s="554"/>
      <c r="B44" s="623"/>
      <c r="C44" s="624"/>
      <c r="D44" s="624"/>
      <c r="E44" s="625"/>
      <c r="F44" s="625"/>
      <c r="G44" s="626"/>
      <c r="H44" s="554"/>
    </row>
    <row r="45" spans="1:8" s="111" customFormat="1" ht="13.35" customHeight="1" x14ac:dyDescent="0.25">
      <c r="A45" s="554"/>
      <c r="B45" s="623"/>
      <c r="C45" s="624"/>
      <c r="D45" s="624"/>
      <c r="E45" s="625"/>
      <c r="F45" s="625"/>
      <c r="G45" s="626"/>
      <c r="H45" s="554"/>
    </row>
    <row r="46" spans="1:8" s="111" customFormat="1" ht="13.35" customHeight="1" x14ac:dyDescent="0.25">
      <c r="A46" s="554"/>
      <c r="B46" s="623"/>
      <c r="C46" s="624"/>
      <c r="D46" s="624"/>
      <c r="E46" s="625"/>
      <c r="F46" s="625"/>
      <c r="G46" s="626"/>
      <c r="H46" s="554"/>
    </row>
    <row r="47" spans="1:8" s="111" customFormat="1" ht="13.35" customHeight="1" x14ac:dyDescent="0.25">
      <c r="A47" s="554"/>
      <c r="B47" s="623"/>
      <c r="C47" s="624"/>
      <c r="D47" s="624"/>
      <c r="E47" s="625"/>
      <c r="F47" s="625"/>
      <c r="G47" s="626"/>
      <c r="H47" s="554"/>
    </row>
    <row r="48" spans="1:8" s="111" customFormat="1" ht="13.35" customHeight="1" x14ac:dyDescent="0.25">
      <c r="A48" s="554"/>
      <c r="B48" s="623"/>
      <c r="C48" s="624"/>
      <c r="D48" s="624"/>
      <c r="E48" s="625"/>
      <c r="F48" s="625"/>
      <c r="G48" s="626"/>
      <c r="H48" s="554"/>
    </row>
    <row r="49" spans="1:8" s="111" customFormat="1" ht="13.35" customHeight="1" x14ac:dyDescent="0.25">
      <c r="A49" s="554"/>
      <c r="B49" s="623"/>
      <c r="C49" s="624"/>
      <c r="D49" s="624"/>
      <c r="E49" s="625"/>
      <c r="F49" s="625"/>
      <c r="G49" s="626"/>
      <c r="H49" s="554"/>
    </row>
    <row r="50" spans="1:8" s="111" customFormat="1" ht="13.35" customHeight="1" x14ac:dyDescent="0.25">
      <c r="A50" s="554"/>
      <c r="B50" s="623"/>
      <c r="C50" s="624"/>
      <c r="D50" s="624"/>
      <c r="E50" s="625"/>
      <c r="F50" s="625"/>
      <c r="G50" s="626"/>
      <c r="H50" s="554"/>
    </row>
    <row r="51" spans="1:8" s="111" customFormat="1" ht="13.35" customHeight="1" x14ac:dyDescent="0.25">
      <c r="A51" s="554"/>
      <c r="B51" s="623"/>
      <c r="C51" s="624"/>
      <c r="D51" s="624"/>
      <c r="E51" s="625"/>
      <c r="F51" s="625"/>
      <c r="G51" s="626"/>
      <c r="H51" s="554"/>
    </row>
    <row r="52" spans="1:8" s="111" customFormat="1" ht="13.35" customHeight="1" x14ac:dyDescent="0.25">
      <c r="A52" s="554"/>
      <c r="B52" s="623"/>
      <c r="C52" s="624"/>
      <c r="D52" s="624"/>
      <c r="E52" s="625"/>
      <c r="F52" s="625"/>
      <c r="G52" s="626"/>
      <c r="H52" s="554"/>
    </row>
    <row r="53" spans="1:8" s="111" customFormat="1" ht="13.35" customHeight="1" x14ac:dyDescent="0.25">
      <c r="A53" s="554"/>
      <c r="B53" s="623"/>
      <c r="C53" s="624"/>
      <c r="D53" s="624"/>
      <c r="E53" s="625"/>
      <c r="F53" s="625"/>
      <c r="G53" s="626"/>
      <c r="H53" s="554"/>
    </row>
    <row r="54" spans="1:8" s="111" customFormat="1" ht="13.35" customHeight="1" x14ac:dyDescent="0.25">
      <c r="A54" s="554"/>
      <c r="B54" s="623"/>
      <c r="C54" s="624"/>
      <c r="D54" s="624"/>
      <c r="E54" s="625"/>
      <c r="F54" s="625"/>
      <c r="G54" s="626"/>
      <c r="H54" s="554"/>
    </row>
    <row r="55" spans="1:8" s="111" customFormat="1" ht="13.35" customHeight="1" x14ac:dyDescent="0.25">
      <c r="A55" s="554"/>
      <c r="B55" s="623"/>
      <c r="C55" s="624"/>
      <c r="D55" s="624"/>
      <c r="E55" s="625"/>
      <c r="F55" s="625"/>
      <c r="G55" s="626"/>
      <c r="H55" s="554"/>
    </row>
    <row r="56" spans="1:8" s="111" customFormat="1" ht="13.35" customHeight="1" x14ac:dyDescent="0.25">
      <c r="A56" s="554"/>
      <c r="B56" s="623"/>
      <c r="C56" s="624"/>
      <c r="D56" s="624"/>
      <c r="E56" s="625"/>
      <c r="F56" s="625"/>
      <c r="G56" s="626"/>
      <c r="H56" s="554"/>
    </row>
    <row r="57" spans="1:8" s="111" customFormat="1" ht="13.35" customHeight="1" x14ac:dyDescent="0.25">
      <c r="A57" s="554"/>
      <c r="B57" s="623"/>
      <c r="C57" s="624"/>
      <c r="D57" s="624"/>
      <c r="E57" s="625"/>
      <c r="F57" s="625"/>
      <c r="G57" s="626"/>
      <c r="H57" s="554"/>
    </row>
    <row r="58" spans="1:8" s="111" customFormat="1" ht="13.35" customHeight="1" x14ac:dyDescent="0.25">
      <c r="A58" s="554"/>
      <c r="B58" s="623"/>
      <c r="C58" s="624"/>
      <c r="D58" s="624"/>
      <c r="E58" s="625"/>
      <c r="F58" s="625"/>
      <c r="G58" s="626"/>
      <c r="H58" s="554"/>
    </row>
    <row r="59" spans="1:8" s="111" customFormat="1" ht="13.35" customHeight="1" x14ac:dyDescent="0.25">
      <c r="A59" s="554"/>
      <c r="B59" s="623"/>
      <c r="C59" s="624"/>
      <c r="D59" s="624"/>
      <c r="E59" s="625"/>
      <c r="F59" s="625"/>
      <c r="G59" s="626"/>
      <c r="H59" s="554"/>
    </row>
    <row r="60" spans="1:8" s="106" customFormat="1" ht="13.35" customHeight="1" x14ac:dyDescent="0.2">
      <c r="A60" s="555"/>
      <c r="B60" s="623"/>
      <c r="C60" s="624"/>
      <c r="D60" s="624"/>
      <c r="E60" s="625"/>
      <c r="F60" s="625"/>
      <c r="G60" s="601"/>
      <c r="H60" s="555"/>
    </row>
    <row r="61" spans="1:8" s="106" customFormat="1" ht="13.35" customHeight="1" x14ac:dyDescent="0.2">
      <c r="A61" s="555"/>
      <c r="B61" s="623"/>
      <c r="C61" s="624"/>
      <c r="D61" s="624"/>
      <c r="E61" s="625"/>
      <c r="F61" s="625"/>
      <c r="G61" s="601"/>
      <c r="H61" s="555"/>
    </row>
    <row r="62" spans="1:8" s="106" customFormat="1" ht="13.35" customHeight="1" x14ac:dyDescent="0.2">
      <c r="A62" s="555"/>
      <c r="B62" s="623"/>
      <c r="C62" s="624"/>
      <c r="D62" s="624"/>
      <c r="E62" s="625"/>
      <c r="F62" s="625"/>
      <c r="G62" s="601"/>
      <c r="H62" s="555"/>
    </row>
    <row r="63" spans="1:8" s="106" customFormat="1" ht="13.35" customHeight="1" x14ac:dyDescent="0.2">
      <c r="A63" s="555"/>
      <c r="B63" s="623"/>
      <c r="C63" s="624"/>
      <c r="D63" s="624"/>
      <c r="E63" s="625"/>
      <c r="F63" s="625"/>
      <c r="G63" s="601"/>
      <c r="H63" s="555"/>
    </row>
    <row r="64" spans="1:8" s="106" customFormat="1" ht="13.35" customHeight="1" x14ac:dyDescent="0.2">
      <c r="A64" s="555"/>
      <c r="B64" s="623"/>
      <c r="C64" s="624"/>
      <c r="D64" s="624"/>
      <c r="E64" s="625"/>
      <c r="F64" s="625"/>
      <c r="G64" s="601"/>
      <c r="H64" s="555"/>
    </row>
    <row r="65" spans="1:8" s="111" customFormat="1" ht="13.35" customHeight="1" x14ac:dyDescent="0.25">
      <c r="A65" s="554"/>
      <c r="B65" s="623"/>
      <c r="C65" s="624"/>
      <c r="D65" s="624"/>
      <c r="E65" s="625"/>
      <c r="F65" s="625"/>
      <c r="G65" s="626"/>
      <c r="H65" s="554"/>
    </row>
    <row r="66" spans="1:8" s="111" customFormat="1" ht="13.35" customHeight="1" x14ac:dyDescent="0.25">
      <c r="A66" s="554"/>
      <c r="B66" s="623"/>
      <c r="C66" s="624"/>
      <c r="D66" s="624"/>
      <c r="E66" s="625"/>
      <c r="F66" s="625"/>
      <c r="G66" s="626"/>
      <c r="H66" s="554"/>
    </row>
    <row r="67" spans="1:8" s="111" customFormat="1" ht="13.35" customHeight="1" x14ac:dyDescent="0.25">
      <c r="A67" s="554"/>
      <c r="B67" s="623"/>
      <c r="C67" s="624"/>
      <c r="D67" s="624"/>
      <c r="E67" s="625"/>
      <c r="F67" s="625"/>
      <c r="G67" s="626"/>
      <c r="H67" s="554"/>
    </row>
    <row r="68" spans="1:8" s="111" customFormat="1" ht="13.35" customHeight="1" x14ac:dyDescent="0.25">
      <c r="A68" s="554"/>
      <c r="B68" s="623"/>
      <c r="C68" s="624"/>
      <c r="D68" s="624"/>
      <c r="E68" s="625"/>
      <c r="F68" s="625"/>
      <c r="G68" s="626"/>
      <c r="H68" s="554"/>
    </row>
    <row r="69" spans="1:8" s="111" customFormat="1" ht="13.35" customHeight="1" x14ac:dyDescent="0.25">
      <c r="A69" s="554"/>
      <c r="B69" s="623"/>
      <c r="C69" s="624"/>
      <c r="D69" s="624"/>
      <c r="E69" s="625"/>
      <c r="F69" s="625"/>
      <c r="G69" s="626"/>
      <c r="H69" s="554"/>
    </row>
    <row r="70" spans="1:8" s="111" customFormat="1" ht="13.35" customHeight="1" x14ac:dyDescent="0.25">
      <c r="A70" s="554"/>
      <c r="B70" s="623"/>
      <c r="C70" s="624"/>
      <c r="D70" s="624"/>
      <c r="E70" s="625"/>
      <c r="F70" s="625"/>
      <c r="G70" s="626"/>
      <c r="H70" s="554"/>
    </row>
    <row r="71" spans="1:8" s="111" customFormat="1" ht="13.35" customHeight="1" x14ac:dyDescent="0.25">
      <c r="A71" s="554"/>
      <c r="B71" s="623"/>
      <c r="C71" s="624"/>
      <c r="D71" s="624"/>
      <c r="E71" s="625"/>
      <c r="F71" s="625"/>
      <c r="G71" s="626"/>
      <c r="H71" s="554"/>
    </row>
    <row r="72" spans="1:8" s="111" customFormat="1" ht="13.35" customHeight="1" x14ac:dyDescent="0.25">
      <c r="A72" s="554"/>
      <c r="B72" s="623"/>
      <c r="C72" s="624"/>
      <c r="D72" s="624"/>
      <c r="E72" s="625"/>
      <c r="F72" s="625"/>
      <c r="G72" s="626"/>
      <c r="H72" s="554"/>
    </row>
    <row r="73" spans="1:8" s="111" customFormat="1" ht="13.35" customHeight="1" x14ac:dyDescent="0.25">
      <c r="A73" s="554"/>
      <c r="B73" s="623"/>
      <c r="C73" s="624"/>
      <c r="D73" s="624"/>
      <c r="E73" s="625"/>
      <c r="F73" s="625"/>
      <c r="G73" s="626"/>
      <c r="H73" s="554"/>
    </row>
    <row r="74" spans="1:8" s="111" customFormat="1" ht="13.35" customHeight="1" x14ac:dyDescent="0.25">
      <c r="A74" s="554"/>
      <c r="B74" s="623"/>
      <c r="C74" s="624"/>
      <c r="D74" s="624"/>
      <c r="E74" s="625"/>
      <c r="F74" s="625"/>
      <c r="G74" s="626"/>
      <c r="H74" s="554"/>
    </row>
    <row r="75" spans="1:8" s="111" customFormat="1" ht="13.35" customHeight="1" x14ac:dyDescent="0.25">
      <c r="A75" s="554"/>
      <c r="B75" s="623"/>
      <c r="C75" s="624"/>
      <c r="D75" s="624"/>
      <c r="E75" s="625"/>
      <c r="F75" s="625"/>
      <c r="G75" s="626"/>
      <c r="H75" s="554"/>
    </row>
    <row r="76" spans="1:8" s="111" customFormat="1" ht="13.35" customHeight="1" x14ac:dyDescent="0.25">
      <c r="A76" s="554"/>
      <c r="B76" s="623"/>
      <c r="C76" s="624"/>
      <c r="D76" s="624"/>
      <c r="E76" s="625"/>
      <c r="F76" s="625"/>
      <c r="G76" s="626"/>
      <c r="H76" s="554"/>
    </row>
    <row r="77" spans="1:8" s="111" customFormat="1" ht="13.35" customHeight="1" x14ac:dyDescent="0.25">
      <c r="A77" s="554"/>
      <c r="B77" s="623"/>
      <c r="C77" s="624"/>
      <c r="D77" s="624"/>
      <c r="E77" s="625"/>
      <c r="F77" s="625"/>
      <c r="G77" s="626"/>
      <c r="H77" s="554"/>
    </row>
    <row r="78" spans="1:8" s="111" customFormat="1" ht="13.35" customHeight="1" x14ac:dyDescent="0.25">
      <c r="A78" s="554"/>
      <c r="B78" s="623"/>
      <c r="C78" s="624"/>
      <c r="D78" s="624"/>
      <c r="E78" s="625"/>
      <c r="F78" s="625"/>
      <c r="G78" s="626"/>
      <c r="H78" s="554"/>
    </row>
    <row r="79" spans="1:8" s="111" customFormat="1" ht="13.35" customHeight="1" x14ac:dyDescent="0.25">
      <c r="A79" s="554"/>
      <c r="B79" s="623"/>
      <c r="C79" s="624"/>
      <c r="D79" s="624"/>
      <c r="E79" s="625"/>
      <c r="F79" s="625"/>
      <c r="G79" s="626"/>
      <c r="H79" s="554"/>
    </row>
    <row r="80" spans="1:8" s="111" customFormat="1" ht="13.35" customHeight="1" x14ac:dyDescent="0.25">
      <c r="A80" s="554"/>
      <c r="B80" s="623"/>
      <c r="C80" s="624"/>
      <c r="D80" s="624"/>
      <c r="E80" s="625"/>
      <c r="F80" s="625"/>
      <c r="G80" s="626"/>
      <c r="H80" s="554"/>
    </row>
    <row r="81" spans="1:8" s="111" customFormat="1" ht="13.35" customHeight="1" x14ac:dyDescent="0.25">
      <c r="A81" s="554"/>
      <c r="B81" s="623"/>
      <c r="C81" s="624"/>
      <c r="D81" s="624"/>
      <c r="E81" s="625"/>
      <c r="F81" s="625"/>
      <c r="G81" s="626"/>
      <c r="H81" s="554"/>
    </row>
    <row r="82" spans="1:8" s="111" customFormat="1" ht="13.35" customHeight="1" x14ac:dyDescent="0.25">
      <c r="A82" s="554"/>
      <c r="B82" s="623"/>
      <c r="C82" s="624"/>
      <c r="D82" s="624"/>
      <c r="E82" s="625"/>
      <c r="F82" s="625"/>
      <c r="G82" s="626"/>
      <c r="H82" s="554"/>
    </row>
    <row r="83" spans="1:8" s="111" customFormat="1" ht="13.35" customHeight="1" x14ac:dyDescent="0.25">
      <c r="A83" s="554"/>
      <c r="B83" s="623"/>
      <c r="C83" s="624"/>
      <c r="D83" s="624"/>
      <c r="E83" s="625"/>
      <c r="F83" s="625"/>
      <c r="G83" s="626"/>
      <c r="H83" s="554"/>
    </row>
    <row r="84" spans="1:8" s="111" customFormat="1" ht="13.35" customHeight="1" x14ac:dyDescent="0.25">
      <c r="A84" s="554"/>
      <c r="B84" s="623"/>
      <c r="C84" s="624"/>
      <c r="D84" s="624"/>
      <c r="E84" s="625"/>
      <c r="F84" s="625"/>
      <c r="G84" s="626"/>
      <c r="H84" s="554"/>
    </row>
    <row r="85" spans="1:8" s="106" customFormat="1" ht="13.35" customHeight="1" x14ac:dyDescent="0.2">
      <c r="A85" s="555"/>
      <c r="B85" s="623"/>
      <c r="C85" s="624"/>
      <c r="D85" s="624"/>
      <c r="E85" s="625"/>
      <c r="F85" s="625"/>
      <c r="G85" s="601"/>
      <c r="H85" s="555"/>
    </row>
    <row r="86" spans="1:8" s="106" customFormat="1" ht="13.35" customHeight="1" x14ac:dyDescent="0.2">
      <c r="A86" s="555"/>
      <c r="B86" s="623"/>
      <c r="C86" s="624"/>
      <c r="D86" s="624"/>
      <c r="E86" s="625"/>
      <c r="F86" s="625"/>
      <c r="G86" s="601"/>
      <c r="H86" s="555"/>
    </row>
    <row r="87" spans="1:8" s="106" customFormat="1" ht="13.35" customHeight="1" x14ac:dyDescent="0.2">
      <c r="A87" s="555"/>
      <c r="B87" s="623"/>
      <c r="C87" s="624"/>
      <c r="D87" s="624"/>
      <c r="E87" s="625"/>
      <c r="F87" s="625"/>
      <c r="G87" s="601"/>
      <c r="H87" s="555"/>
    </row>
    <row r="88" spans="1:8" s="106" customFormat="1" ht="13.35" customHeight="1" x14ac:dyDescent="0.2">
      <c r="A88" s="555"/>
      <c r="B88" s="623"/>
      <c r="C88" s="624"/>
      <c r="D88" s="624"/>
      <c r="E88" s="625"/>
      <c r="F88" s="625"/>
      <c r="G88" s="601"/>
      <c r="H88" s="555"/>
    </row>
    <row r="89" spans="1:8" s="106" customFormat="1" ht="13.35" customHeight="1" x14ac:dyDescent="0.2">
      <c r="A89" s="555"/>
      <c r="B89" s="623"/>
      <c r="C89" s="624"/>
      <c r="D89" s="624"/>
      <c r="E89" s="625"/>
      <c r="F89" s="625"/>
      <c r="G89" s="601"/>
      <c r="H89" s="555"/>
    </row>
    <row r="90" spans="1:8" s="111" customFormat="1" ht="13.35" customHeight="1" x14ac:dyDescent="0.25">
      <c r="A90" s="554"/>
      <c r="B90" s="623"/>
      <c r="C90" s="624"/>
      <c r="D90" s="624"/>
      <c r="E90" s="625"/>
      <c r="F90" s="625"/>
      <c r="G90" s="626"/>
      <c r="H90" s="554"/>
    </row>
    <row r="91" spans="1:8" s="111" customFormat="1" ht="13.35" customHeight="1" x14ac:dyDescent="0.25">
      <c r="A91" s="554"/>
      <c r="B91" s="623"/>
      <c r="C91" s="624"/>
      <c r="D91" s="624"/>
      <c r="E91" s="625"/>
      <c r="F91" s="625"/>
      <c r="G91" s="626"/>
      <c r="H91" s="554"/>
    </row>
    <row r="92" spans="1:8" s="111" customFormat="1" ht="13.35" customHeight="1" x14ac:dyDescent="0.25">
      <c r="A92" s="554"/>
      <c r="B92" s="623"/>
      <c r="C92" s="624"/>
      <c r="D92" s="624"/>
      <c r="E92" s="625"/>
      <c r="F92" s="625"/>
      <c r="G92" s="626"/>
      <c r="H92" s="554"/>
    </row>
    <row r="93" spans="1:8" s="111" customFormat="1" ht="13.35" customHeight="1" x14ac:dyDescent="0.25">
      <c r="A93" s="554"/>
      <c r="B93" s="623"/>
      <c r="C93" s="624"/>
      <c r="D93" s="624"/>
      <c r="E93" s="625"/>
      <c r="F93" s="625"/>
      <c r="G93" s="626"/>
      <c r="H93" s="554"/>
    </row>
    <row r="94" spans="1:8" s="111" customFormat="1" ht="13.35" customHeight="1" x14ac:dyDescent="0.25">
      <c r="A94" s="554"/>
      <c r="B94" s="623"/>
      <c r="C94" s="624"/>
      <c r="D94" s="624"/>
      <c r="E94" s="625"/>
      <c r="F94" s="625"/>
      <c r="G94" s="626"/>
      <c r="H94" s="554"/>
    </row>
    <row r="95" spans="1:8" s="111" customFormat="1" ht="13.35" customHeight="1" x14ac:dyDescent="0.25">
      <c r="A95" s="554"/>
      <c r="B95" s="623"/>
      <c r="C95" s="624"/>
      <c r="D95" s="624"/>
      <c r="E95" s="625"/>
      <c r="F95" s="625"/>
      <c r="G95" s="626"/>
      <c r="H95" s="554"/>
    </row>
    <row r="96" spans="1:8" s="111" customFormat="1" ht="13.35" customHeight="1" x14ac:dyDescent="0.25">
      <c r="A96" s="554"/>
      <c r="B96" s="623"/>
      <c r="C96" s="624"/>
      <c r="D96" s="624"/>
      <c r="E96" s="625"/>
      <c r="F96" s="625"/>
      <c r="G96" s="626"/>
      <c r="H96" s="554"/>
    </row>
    <row r="97" spans="1:8" s="111" customFormat="1" ht="13.35" customHeight="1" x14ac:dyDescent="0.25">
      <c r="A97" s="554"/>
      <c r="B97" s="623"/>
      <c r="C97" s="624"/>
      <c r="D97" s="624"/>
      <c r="E97" s="625"/>
      <c r="F97" s="625"/>
      <c r="G97" s="626"/>
      <c r="H97" s="554"/>
    </row>
    <row r="98" spans="1:8" s="111" customFormat="1" ht="13.35" customHeight="1" x14ac:dyDescent="0.25">
      <c r="A98" s="554"/>
      <c r="B98" s="623"/>
      <c r="C98" s="624"/>
      <c r="D98" s="624"/>
      <c r="E98" s="625"/>
      <c r="F98" s="625"/>
      <c r="G98" s="626"/>
      <c r="H98" s="554"/>
    </row>
    <row r="99" spans="1:8" s="111" customFormat="1" ht="13.35" customHeight="1" x14ac:dyDescent="0.25">
      <c r="A99" s="554"/>
      <c r="B99" s="623"/>
      <c r="C99" s="624"/>
      <c r="D99" s="624"/>
      <c r="E99" s="625"/>
      <c r="F99" s="625"/>
      <c r="G99" s="626"/>
      <c r="H99" s="554"/>
    </row>
    <row r="100" spans="1:8" s="111" customFormat="1" ht="13.35" customHeight="1" x14ac:dyDescent="0.25">
      <c r="A100" s="554"/>
      <c r="B100" s="623"/>
      <c r="C100" s="624"/>
      <c r="D100" s="624"/>
      <c r="E100" s="625"/>
      <c r="F100" s="625"/>
      <c r="G100" s="626"/>
      <c r="H100" s="554"/>
    </row>
    <row r="101" spans="1:8" s="111" customFormat="1" ht="13.35" customHeight="1" x14ac:dyDescent="0.25">
      <c r="A101" s="554"/>
      <c r="B101" s="623"/>
      <c r="C101" s="624"/>
      <c r="D101" s="624"/>
      <c r="E101" s="625"/>
      <c r="F101" s="625"/>
      <c r="G101" s="626"/>
      <c r="H101" s="554"/>
    </row>
    <row r="102" spans="1:8" s="111" customFormat="1" ht="13.35" customHeight="1" x14ac:dyDescent="0.25">
      <c r="A102" s="554"/>
      <c r="B102" s="623"/>
      <c r="C102" s="624"/>
      <c r="D102" s="624"/>
      <c r="E102" s="625"/>
      <c r="F102" s="625"/>
      <c r="G102" s="626"/>
      <c r="H102" s="554"/>
    </row>
    <row r="103" spans="1:8" s="111" customFormat="1" ht="13.35" customHeight="1" x14ac:dyDescent="0.25">
      <c r="A103" s="554"/>
      <c r="B103" s="623"/>
      <c r="C103" s="624"/>
      <c r="D103" s="624"/>
      <c r="E103" s="625"/>
      <c r="F103" s="625"/>
      <c r="G103" s="626"/>
      <c r="H103" s="554"/>
    </row>
    <row r="104" spans="1:8" s="111" customFormat="1" ht="13.35" customHeight="1" x14ac:dyDescent="0.25">
      <c r="A104" s="554"/>
      <c r="B104" s="623"/>
      <c r="C104" s="624"/>
      <c r="D104" s="624"/>
      <c r="E104" s="625"/>
      <c r="F104" s="625"/>
      <c r="G104" s="626"/>
      <c r="H104" s="554"/>
    </row>
    <row r="105" spans="1:8" s="111" customFormat="1" ht="13.35" customHeight="1" x14ac:dyDescent="0.25">
      <c r="A105" s="554"/>
      <c r="B105" s="623"/>
      <c r="C105" s="624"/>
      <c r="D105" s="624"/>
      <c r="E105" s="625"/>
      <c r="F105" s="625"/>
      <c r="G105" s="626"/>
      <c r="H105" s="554"/>
    </row>
    <row r="106" spans="1:8" s="111" customFormat="1" ht="13.35" customHeight="1" x14ac:dyDescent="0.25">
      <c r="A106" s="554"/>
      <c r="B106" s="623"/>
      <c r="C106" s="624"/>
      <c r="D106" s="624"/>
      <c r="E106" s="625"/>
      <c r="F106" s="625"/>
      <c r="G106" s="626"/>
      <c r="H106" s="554"/>
    </row>
    <row r="107" spans="1:8" s="111" customFormat="1" ht="13.35" customHeight="1" x14ac:dyDescent="0.25">
      <c r="A107" s="554"/>
      <c r="B107" s="623"/>
      <c r="C107" s="624"/>
      <c r="D107" s="624"/>
      <c r="E107" s="625"/>
      <c r="F107" s="625"/>
      <c r="G107" s="626"/>
      <c r="H107" s="554"/>
    </row>
    <row r="108" spans="1:8" s="111" customFormat="1" ht="13.35" customHeight="1" x14ac:dyDescent="0.25">
      <c r="A108" s="554"/>
      <c r="B108" s="623"/>
      <c r="C108" s="624"/>
      <c r="D108" s="624"/>
      <c r="E108" s="625"/>
      <c r="F108" s="625"/>
      <c r="G108" s="626"/>
      <c r="H108" s="554"/>
    </row>
    <row r="109" spans="1:8" s="111" customFormat="1" ht="13.35" customHeight="1" x14ac:dyDescent="0.25">
      <c r="A109" s="554"/>
      <c r="B109" s="623"/>
      <c r="C109" s="624"/>
      <c r="D109" s="624"/>
      <c r="E109" s="625"/>
      <c r="F109" s="625"/>
      <c r="G109" s="626"/>
      <c r="H109" s="554"/>
    </row>
    <row r="110" spans="1:8" s="111" customFormat="1" ht="13.35" customHeight="1" x14ac:dyDescent="0.25">
      <c r="A110" s="554"/>
      <c r="B110" s="623"/>
      <c r="C110" s="624"/>
      <c r="D110" s="624"/>
      <c r="E110" s="625"/>
      <c r="F110" s="625"/>
      <c r="G110" s="626"/>
      <c r="H110" s="554"/>
    </row>
    <row r="111" spans="1:8" s="106" customFormat="1" ht="13.35" customHeight="1" x14ac:dyDescent="0.2">
      <c r="A111" s="555"/>
      <c r="B111" s="623"/>
      <c r="C111" s="624"/>
      <c r="D111" s="624"/>
      <c r="E111" s="625"/>
      <c r="F111" s="625"/>
      <c r="G111" s="601"/>
      <c r="H111" s="555"/>
    </row>
    <row r="112" spans="1:8" s="106" customFormat="1" ht="13.35" customHeight="1" x14ac:dyDescent="0.2">
      <c r="A112" s="555"/>
      <c r="B112" s="623"/>
      <c r="C112" s="624"/>
      <c r="D112" s="624"/>
      <c r="E112" s="625"/>
      <c r="F112" s="625"/>
      <c r="G112" s="601"/>
      <c r="H112" s="555"/>
    </row>
    <row r="113" spans="1:8" s="106" customFormat="1" ht="13.35" customHeight="1" x14ac:dyDescent="0.2">
      <c r="A113" s="555"/>
      <c r="B113" s="623"/>
      <c r="C113" s="624"/>
      <c r="D113" s="624"/>
      <c r="E113" s="625"/>
      <c r="F113" s="625"/>
      <c r="G113" s="601"/>
      <c r="H113" s="555"/>
    </row>
    <row r="114" spans="1:8" s="106" customFormat="1" ht="13.35" customHeight="1" x14ac:dyDescent="0.2">
      <c r="A114" s="555"/>
      <c r="B114" s="623"/>
      <c r="C114" s="624"/>
      <c r="D114" s="624"/>
      <c r="E114" s="625"/>
      <c r="F114" s="625"/>
      <c r="G114" s="601"/>
      <c r="H114" s="555"/>
    </row>
    <row r="115" spans="1:8" s="106" customFormat="1" ht="13.35" customHeight="1" x14ac:dyDescent="0.2">
      <c r="A115" s="555"/>
      <c r="B115" s="623"/>
      <c r="C115" s="624"/>
      <c r="D115" s="624"/>
      <c r="E115" s="625"/>
      <c r="F115" s="625"/>
      <c r="G115" s="601"/>
      <c r="H115" s="555"/>
    </row>
    <row r="116" spans="1:8" s="106" customFormat="1" ht="13.35" customHeight="1" x14ac:dyDescent="0.2">
      <c r="A116" s="555"/>
      <c r="B116" s="623"/>
      <c r="C116" s="624"/>
      <c r="D116" s="624"/>
      <c r="E116" s="625"/>
      <c r="F116" s="625"/>
      <c r="G116" s="601"/>
      <c r="H116" s="555"/>
    </row>
    <row r="117" spans="1:8" s="106" customFormat="1" ht="13.35" customHeight="1" x14ac:dyDescent="0.2">
      <c r="A117" s="555"/>
      <c r="B117" s="623"/>
      <c r="C117" s="627" t="str">
        <f>Translations!$B$1024</f>
        <v>end of list</v>
      </c>
      <c r="D117" s="627" t="str">
        <f>Translations!$B$1024</f>
        <v>end of list</v>
      </c>
      <c r="E117" s="628" t="str">
        <f>Translations!$B$1024</f>
        <v>end of list</v>
      </c>
      <c r="F117" s="628" t="str">
        <f>Translations!$B$1024</f>
        <v>end of list</v>
      </c>
      <c r="G117" s="601"/>
      <c r="H117" s="555"/>
    </row>
    <row r="118" spans="1:8" ht="13.35" customHeight="1" x14ac:dyDescent="0.25">
      <c r="A118" s="551"/>
      <c r="E118" s="629"/>
      <c r="F118" s="629"/>
      <c r="H118" s="551"/>
    </row>
    <row r="119" spans="1:8" s="68" customFormat="1" ht="15.6" x14ac:dyDescent="0.25">
      <c r="A119" s="552"/>
      <c r="B119" s="630"/>
      <c r="C119" s="631" t="str">
        <f>Translations!$B$1025</f>
        <v>Totals:</v>
      </c>
      <c r="D119" s="631"/>
      <c r="E119" s="631"/>
      <c r="F119" s="631"/>
      <c r="G119" s="607"/>
      <c r="H119" s="552"/>
    </row>
    <row r="120" spans="1:8" s="101" customFormat="1" ht="38.25" customHeight="1" x14ac:dyDescent="0.25">
      <c r="A120" s="553"/>
      <c r="B120" s="619"/>
      <c r="C120" s="632"/>
      <c r="D120" s="633"/>
      <c r="E120" s="634" t="str">
        <f>Translations!$B$1026</f>
        <v>Total number of flights</v>
      </c>
      <c r="F120" s="634" t="str">
        <f>Translations!$B$1021</f>
        <v>Total emissions
[t CO2]</v>
      </c>
      <c r="G120" s="619"/>
      <c r="H120" s="553"/>
    </row>
    <row r="121" spans="1:8" x14ac:dyDescent="0.25">
      <c r="A121" s="551"/>
      <c r="C121" s="635" t="str">
        <f>Translations!$B$1027</f>
        <v>Reporting year totals:</v>
      </c>
      <c r="D121" s="636"/>
      <c r="E121" s="637">
        <f>SUM(E37:E117)</f>
        <v>0</v>
      </c>
      <c r="F121" s="637">
        <f>SUM(F37:F117)</f>
        <v>0</v>
      </c>
      <c r="H121" s="551"/>
    </row>
  </sheetData>
  <sheetProtection sheet="1" objects="1" scenarios="1" formatCells="0" formatColumns="0" formatRows="0" insertColumns="0" insertRows="0"/>
  <mergeCells count="31">
    <mergeCell ref="C13:G13"/>
    <mergeCell ref="C18:F18"/>
    <mergeCell ref="C19:F19"/>
    <mergeCell ref="C20:F20"/>
    <mergeCell ref="C9:G9"/>
    <mergeCell ref="C11:G11"/>
    <mergeCell ref="C12:G12"/>
    <mergeCell ref="C10:G10"/>
    <mergeCell ref="C14:G14"/>
    <mergeCell ref="C15:G15"/>
    <mergeCell ref="B2:G2"/>
    <mergeCell ref="C5:G5"/>
    <mergeCell ref="C6:G6"/>
    <mergeCell ref="C7:G7"/>
    <mergeCell ref="C8:G8"/>
    <mergeCell ref="C4:G4"/>
    <mergeCell ref="C34:G34"/>
    <mergeCell ref="C35:D35"/>
    <mergeCell ref="E35:E36"/>
    <mergeCell ref="F35:F36"/>
    <mergeCell ref="C23:G23"/>
    <mergeCell ref="C29:F29"/>
    <mergeCell ref="C24:F24"/>
    <mergeCell ref="C32:G32"/>
    <mergeCell ref="C31:G31"/>
    <mergeCell ref="C33:G33"/>
    <mergeCell ref="C21:F21"/>
    <mergeCell ref="C26:G26"/>
    <mergeCell ref="C28:G28"/>
    <mergeCell ref="C27:G27"/>
    <mergeCell ref="C17:F17"/>
  </mergeCells>
  <conditionalFormatting sqref="B13:C13 B16:G16 B17:C21 G17:G21 B22:G23 G24 E25:G25 B26:G26 B27:B30 B31:G121">
    <cfRule type="expression" dxfId="37" priority="22">
      <formula>CONTR_onlyCORSIA=TRUE</formula>
    </cfRule>
  </conditionalFormatting>
  <conditionalFormatting sqref="B15:C15">
    <cfRule type="expression" dxfId="36" priority="19">
      <formula>CONTR_onlyCORSIA=TRUE</formula>
    </cfRule>
  </conditionalFormatting>
  <conditionalFormatting sqref="B24:C25">
    <cfRule type="expression" dxfId="35" priority="12">
      <formula>CONTR_onlyCORSIA=TRUE</formula>
    </cfRule>
  </conditionalFormatting>
  <conditionalFormatting sqref="B5:G12">
    <cfRule type="expression" dxfId="34" priority="13">
      <formula>CONTR_onlyCORSIA=TRUE</formula>
    </cfRule>
  </conditionalFormatting>
  <conditionalFormatting sqref="B14:G14">
    <cfRule type="expression" dxfId="33" priority="20">
      <formula>CONTR_onlyCORSIA=TRUE</formula>
    </cfRule>
  </conditionalFormatting>
  <conditionalFormatting sqref="C29:C30">
    <cfRule type="expression" dxfId="32" priority="8">
      <formula>CONTR_onlyCORSIA=TRUE</formula>
    </cfRule>
  </conditionalFormatting>
  <conditionalFormatting sqref="C27:G28">
    <cfRule type="expression" dxfId="31" priority="10">
      <formula>CONTR_onlyCORSIA=TRUE</formula>
    </cfRule>
  </conditionalFormatting>
  <conditionalFormatting sqref="G29:G30 E30:F30">
    <cfRule type="expression" dxfId="30" priority="9">
      <formula>CONTR_onlyCORSIA=TRUE</formula>
    </cfRule>
  </conditionalFormatting>
  <hyperlinks>
    <hyperlink ref="C15:G15" location="JUMP_11a" display="Click here to check content of section (11)(a)" xr:uid="{00000000-0004-0000-0A00-000000000000}"/>
  </hyperlinks>
  <pageMargins left="0.78740157480314965" right="0.78740157480314965" top="0.78740157480314965" bottom="0.78740157480314965" header="0.39370078740157483" footer="0.39370078740157483"/>
  <pageSetup paperSize="9" scale="90" fitToHeight="2" orientation="portrait" r:id="rId1"/>
  <headerFooter alignWithMargins="0">
    <oddFooter>&amp;L&amp;F&amp;C&amp;A&amp;R&amp;P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3">
    <tabColor rgb="FFBDD7EE"/>
    <pageSetUpPr fitToPage="1"/>
  </sheetPr>
  <dimension ref="A1:S373"/>
  <sheetViews>
    <sheetView zoomScale="115" zoomScaleNormal="115" workbookViewId="0"/>
  </sheetViews>
  <sheetFormatPr defaultColWidth="11.5546875" defaultRowHeight="13.2" x14ac:dyDescent="0.25"/>
  <cols>
    <col min="1" max="1" width="4.5546875" style="333" customWidth="1"/>
    <col min="2" max="2" width="3.5546875" style="333" customWidth="1"/>
    <col min="3" max="3" width="8.5546875" style="333" customWidth="1"/>
    <col min="4" max="4" width="11.5546875" style="333" customWidth="1"/>
    <col min="5" max="5" width="3.5546875" style="333" customWidth="1"/>
    <col min="6" max="6" width="8.5546875" style="333" customWidth="1"/>
    <col min="7" max="7" width="11.5546875" style="333" customWidth="1"/>
    <col min="8" max="8" width="3.5546875" style="333" customWidth="1"/>
    <col min="9" max="9" width="11.5546875" style="333"/>
    <col min="10" max="11" width="8.5546875" style="333" customWidth="1"/>
    <col min="12" max="12" width="12.5546875" style="333" customWidth="1"/>
    <col min="13" max="13" width="11.5546875" style="333" customWidth="1"/>
    <col min="14" max="14" width="12.5546875" style="333" customWidth="1"/>
    <col min="15" max="15" width="13.5546875" style="333" customWidth="1"/>
    <col min="16" max="16" width="3.5546875" style="333" customWidth="1"/>
    <col min="17" max="17" width="4.5546875" style="333" customWidth="1"/>
    <col min="18" max="18" width="3.6640625" style="333" customWidth="1"/>
    <col min="19" max="19" width="11.5546875" style="571"/>
    <col min="20" max="16384" width="11.5546875" style="333"/>
  </cols>
  <sheetData>
    <row r="1" spans="1:19" x14ac:dyDescent="0.25">
      <c r="A1" s="339"/>
      <c r="B1" s="339"/>
      <c r="C1" s="339"/>
      <c r="D1" s="339"/>
      <c r="E1" s="339"/>
      <c r="F1" s="339"/>
      <c r="G1" s="339"/>
      <c r="H1" s="339"/>
      <c r="I1" s="339"/>
      <c r="J1" s="339"/>
      <c r="K1" s="339"/>
      <c r="L1" s="339"/>
      <c r="M1" s="339"/>
      <c r="N1" s="339"/>
      <c r="O1" s="339"/>
      <c r="P1" s="339"/>
      <c r="Q1" s="339"/>
      <c r="S1" s="958"/>
    </row>
    <row r="2" spans="1:19" ht="14.4" customHeight="1" x14ac:dyDescent="0.25">
      <c r="A2" s="339"/>
      <c r="B2" s="328"/>
      <c r="C2" s="1391" t="str">
        <f>Translations!$B$1158</f>
        <v>(12) CORSIA REPORTING</v>
      </c>
      <c r="D2" s="1391"/>
      <c r="E2" s="1391"/>
      <c r="F2" s="1391"/>
      <c r="G2" s="1391"/>
      <c r="H2" s="1391"/>
      <c r="I2" s="1391"/>
      <c r="J2" s="1391"/>
      <c r="K2" s="1391"/>
      <c r="L2" s="1391"/>
      <c r="M2" s="1391"/>
      <c r="N2" s="1391"/>
      <c r="O2" s="1391"/>
      <c r="Q2" s="339"/>
      <c r="S2" s="958"/>
    </row>
    <row r="3" spans="1:19" ht="14.4" customHeight="1" x14ac:dyDescent="0.25">
      <c r="A3" s="339"/>
      <c r="B3" s="328"/>
      <c r="C3" s="1391"/>
      <c r="D3" s="1391"/>
      <c r="E3" s="1391"/>
      <c r="F3" s="1391"/>
      <c r="G3" s="1391"/>
      <c r="H3" s="1391"/>
      <c r="I3" s="1391"/>
      <c r="J3" s="1391"/>
      <c r="K3" s="1391"/>
      <c r="L3" s="1391"/>
      <c r="M3" s="1391"/>
      <c r="N3" s="1391"/>
      <c r="O3" s="1391"/>
      <c r="Q3" s="339"/>
      <c r="S3" s="958"/>
    </row>
    <row r="4" spans="1:19" ht="53.1" customHeight="1" thickBot="1" x14ac:dyDescent="0.3">
      <c r="A4" s="339"/>
      <c r="B4" s="328"/>
      <c r="C4" s="1397" t="s">
        <v>1992</v>
      </c>
      <c r="D4" s="991"/>
      <c r="E4" s="991"/>
      <c r="F4" s="991"/>
      <c r="G4" s="991"/>
      <c r="H4" s="991"/>
      <c r="I4" s="991"/>
      <c r="J4" s="991"/>
      <c r="K4" s="991"/>
      <c r="L4" s="991"/>
      <c r="M4" s="991"/>
      <c r="N4" s="991"/>
      <c r="O4" s="991"/>
      <c r="Q4" s="339"/>
      <c r="S4" s="958" t="s">
        <v>261</v>
      </c>
    </row>
    <row r="5" spans="1:19" ht="26.4" customHeight="1" thickBot="1" x14ac:dyDescent="0.3">
      <c r="A5" s="339"/>
      <c r="B5" s="328"/>
      <c r="C5" s="1394" t="str">
        <f>Translations!$B$1385</f>
        <v>You can select here either to use the default emission factors required by EU ETS legislation, or the default values necessary for CORSIA as referenced in Article 7 of the CORSIA delegated act.</v>
      </c>
      <c r="D5" s="1014"/>
      <c r="E5" s="1014"/>
      <c r="F5" s="1014"/>
      <c r="G5" s="1014"/>
      <c r="H5" s="1014"/>
      <c r="I5" s="1014"/>
      <c r="J5" s="1014"/>
      <c r="K5" s="1014"/>
      <c r="L5" s="1014"/>
      <c r="M5" s="1014"/>
      <c r="N5" s="1395" t="s">
        <v>262</v>
      </c>
      <c r="O5" s="1396"/>
      <c r="Q5" s="339"/>
      <c r="S5" s="958" t="s">
        <v>263</v>
      </c>
    </row>
    <row r="6" spans="1:19" ht="39.6" customHeight="1" x14ac:dyDescent="0.25">
      <c r="A6" s="339"/>
      <c r="B6" s="328"/>
      <c r="C6" s="1348" t="str">
        <f>Translations!$B$1161</f>
        <v>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v>
      </c>
      <c r="D6" s="1348"/>
      <c r="E6" s="1348"/>
      <c r="F6" s="1348"/>
      <c r="G6" s="1348"/>
      <c r="H6" s="1348"/>
      <c r="I6" s="1348"/>
      <c r="J6" s="1348"/>
      <c r="K6" s="1348"/>
      <c r="L6" s="1348"/>
      <c r="M6" s="1348"/>
      <c r="N6" s="1348"/>
      <c r="O6" s="1348"/>
      <c r="Q6" s="339"/>
      <c r="S6" s="958" t="s">
        <v>263</v>
      </c>
    </row>
    <row r="7" spans="1:19" ht="26.1" customHeight="1" x14ac:dyDescent="0.25">
      <c r="A7" s="339"/>
      <c r="B7" s="328"/>
      <c r="C7" s="1348" t="str">
        <f>Translations!$B$1386</f>
        <v>For emissions from 2024 onwards, the same emission factor as under CORSIA will also be applicable in the EU ETS.</v>
      </c>
      <c r="D7" s="1029"/>
      <c r="E7" s="1029"/>
      <c r="F7" s="1029"/>
      <c r="G7" s="1029"/>
      <c r="H7" s="1029"/>
      <c r="I7" s="1029"/>
      <c r="J7" s="1029"/>
      <c r="K7" s="1029"/>
      <c r="L7" s="1029"/>
      <c r="M7" s="1029"/>
      <c r="N7" s="1029"/>
      <c r="O7" s="1029"/>
      <c r="Q7" s="339"/>
      <c r="S7" s="958" t="s">
        <v>263</v>
      </c>
    </row>
    <row r="8" spans="1:19" ht="13.35" customHeight="1" x14ac:dyDescent="0.25">
      <c r="A8" s="339"/>
      <c r="B8" s="328"/>
      <c r="C8" s="1355" t="str">
        <f>Translations!$B$1162</f>
        <v>Explanation for the data below: Please complete the list underneath. All aerodrome pairs that were operated during the reporting year have to be reported.</v>
      </c>
      <c r="D8" s="991"/>
      <c r="E8" s="991"/>
      <c r="F8" s="991"/>
      <c r="G8" s="991"/>
      <c r="H8" s="991"/>
      <c r="I8" s="991"/>
      <c r="J8" s="991"/>
      <c r="K8" s="991"/>
      <c r="L8" s="991"/>
      <c r="M8" s="991"/>
      <c r="N8" s="991"/>
      <c r="O8" s="991"/>
      <c r="Q8" s="339"/>
      <c r="S8" s="958"/>
    </row>
    <row r="9" spans="1:19" ht="13.35" customHeight="1" x14ac:dyDescent="0.25">
      <c r="A9" s="339"/>
      <c r="B9" s="328"/>
      <c r="C9" s="1355" t="str">
        <f>Translations!$B$1163</f>
        <v>Note I: Please report both directions between aerodrome pairs if applicable (A-B and B-A).</v>
      </c>
      <c r="D9" s="991"/>
      <c r="E9" s="991"/>
      <c r="F9" s="991"/>
      <c r="G9" s="991"/>
      <c r="H9" s="991"/>
      <c r="I9" s="991"/>
      <c r="J9" s="991"/>
      <c r="K9" s="991"/>
      <c r="L9" s="991"/>
      <c r="M9" s="991"/>
      <c r="N9" s="991"/>
      <c r="O9" s="991"/>
      <c r="Q9" s="339"/>
      <c r="S9" s="958"/>
    </row>
    <row r="10" spans="1:19" ht="26.4" customHeight="1" x14ac:dyDescent="0.25">
      <c r="A10" s="339"/>
      <c r="B10" s="328"/>
      <c r="C10" s="1355" t="s">
        <v>1985</v>
      </c>
      <c r="D10" s="991"/>
      <c r="E10" s="991"/>
      <c r="F10" s="991"/>
      <c r="G10" s="991"/>
      <c r="H10" s="991"/>
      <c r="I10" s="991"/>
      <c r="J10" s="991"/>
      <c r="K10" s="991"/>
      <c r="L10" s="991"/>
      <c r="M10" s="991"/>
      <c r="N10" s="991"/>
      <c r="O10" s="991"/>
      <c r="Q10" s="339"/>
      <c r="S10" s="958" t="s">
        <v>13</v>
      </c>
    </row>
    <row r="11" spans="1:19" ht="26.1" customHeight="1" x14ac:dyDescent="0.25">
      <c r="A11" s="339"/>
      <c r="B11" s="328"/>
      <c r="C11" s="1355" t="s">
        <v>1986</v>
      </c>
      <c r="D11" s="991"/>
      <c r="E11" s="991"/>
      <c r="F11" s="991"/>
      <c r="G11" s="991"/>
      <c r="H11" s="991"/>
      <c r="I11" s="991"/>
      <c r="J11" s="991"/>
      <c r="K11" s="991"/>
      <c r="L11" s="991"/>
      <c r="M11" s="991"/>
      <c r="N11" s="991"/>
      <c r="O11" s="991"/>
      <c r="Q11" s="339"/>
      <c r="S11" s="958" t="s">
        <v>264</v>
      </c>
    </row>
    <row r="12" spans="1:19" ht="4.95" customHeight="1" x14ac:dyDescent="0.25">
      <c r="A12" s="339"/>
      <c r="B12" s="328"/>
      <c r="C12" s="327"/>
      <c r="D12" s="327"/>
      <c r="E12" s="327"/>
      <c r="F12" s="327"/>
      <c r="G12" s="327"/>
      <c r="H12" s="327"/>
      <c r="I12" s="327"/>
      <c r="J12" s="327"/>
      <c r="K12" s="327"/>
      <c r="L12" s="327"/>
      <c r="M12" s="327"/>
      <c r="N12" s="327"/>
      <c r="O12" s="327"/>
      <c r="Q12" s="339"/>
      <c r="S12" s="958"/>
    </row>
    <row r="13" spans="1:19" x14ac:dyDescent="0.25">
      <c r="A13" s="339"/>
      <c r="B13" s="340" t="s">
        <v>265</v>
      </c>
      <c r="C13" s="340" t="str">
        <f>Translations!$B$1166</f>
        <v>Summary of reported international flights and emissions</v>
      </c>
      <c r="Q13" s="339"/>
      <c r="S13" s="958"/>
    </row>
    <row r="14" spans="1:19" ht="5.0999999999999996" customHeight="1" x14ac:dyDescent="0.25">
      <c r="A14" s="339"/>
      <c r="B14" s="341"/>
      <c r="C14" s="1392"/>
      <c r="D14" s="1392"/>
      <c r="E14" s="1392"/>
      <c r="F14" s="1392"/>
      <c r="G14" s="1392"/>
      <c r="H14" s="1392"/>
      <c r="I14" s="1392"/>
      <c r="J14" s="1392"/>
      <c r="K14" s="1392"/>
      <c r="L14" s="1392"/>
      <c r="M14" s="1392"/>
      <c r="Q14" s="339"/>
      <c r="S14" s="958"/>
    </row>
    <row r="15" spans="1:19" x14ac:dyDescent="0.25">
      <c r="A15" s="339"/>
      <c r="B15" s="341"/>
      <c r="C15" s="1368" t="str">
        <f>Translations!$B$1167</f>
        <v>Total CO2 emissions from international flights (in tonnes):</v>
      </c>
      <c r="D15" s="1369"/>
      <c r="E15" s="1369"/>
      <c r="F15" s="1369"/>
      <c r="G15" s="1369"/>
      <c r="H15" s="1369"/>
      <c r="I15" s="1369"/>
      <c r="J15" s="1369"/>
      <c r="K15" s="1369"/>
      <c r="L15" s="1369"/>
      <c r="M15" s="1366" t="str">
        <f>IF(COUNT(N70:N369)&gt;0,SUM(N70:N369),"")</f>
        <v/>
      </c>
      <c r="N15" s="1367"/>
      <c r="O15" s="342" t="s">
        <v>198</v>
      </c>
      <c r="Q15" s="339"/>
      <c r="S15" s="958"/>
    </row>
    <row r="16" spans="1:19" x14ac:dyDescent="0.25">
      <c r="A16" s="339"/>
      <c r="B16" s="341"/>
      <c r="C16" s="1368" t="str">
        <f>Translations!$B$1168</f>
        <v xml:space="preserve">   Total CO2 emissions from flights subject to offsetting requirements (in tonnes):</v>
      </c>
      <c r="D16" s="1369"/>
      <c r="E16" s="1369"/>
      <c r="F16" s="1369"/>
      <c r="G16" s="1369"/>
      <c r="H16" s="1369"/>
      <c r="I16" s="1369"/>
      <c r="J16" s="1369"/>
      <c r="K16" s="1369"/>
      <c r="L16" s="1369"/>
      <c r="M16" s="1366" t="str">
        <f>IF(M15="","",SUMIF(O70:O369,TRUE,N70:N369))</f>
        <v/>
      </c>
      <c r="N16" s="1367"/>
      <c r="O16" s="342" t="s">
        <v>198</v>
      </c>
      <c r="Q16" s="339"/>
      <c r="S16" s="958"/>
    </row>
    <row r="17" spans="1:19" x14ac:dyDescent="0.25">
      <c r="A17" s="339"/>
      <c r="B17" s="341"/>
      <c r="C17" s="1368" t="str">
        <f>Translations!$B$1169</f>
        <v>Total number of international flights during reporting period:</v>
      </c>
      <c r="D17" s="1369"/>
      <c r="E17" s="1369"/>
      <c r="F17" s="1369"/>
      <c r="G17" s="1369"/>
      <c r="H17" s="1369"/>
      <c r="I17" s="1369"/>
      <c r="J17" s="1369"/>
      <c r="K17" s="1369"/>
      <c r="L17" s="1369"/>
      <c r="M17" s="1366" t="str">
        <f>IF(COUNT(J70:J369)&gt;0,SUM(J70:J369),"")</f>
        <v/>
      </c>
      <c r="N17" s="1367"/>
      <c r="O17" s="342"/>
      <c r="Q17" s="339"/>
      <c r="S17" s="958"/>
    </row>
    <row r="18" spans="1:19" x14ac:dyDescent="0.25">
      <c r="A18" s="339"/>
      <c r="B18" s="341"/>
      <c r="C18" s="1368" t="str">
        <f>Translations!$B$1170</f>
        <v xml:space="preserve">   Total number of international flights subject to offsetting requirements:</v>
      </c>
      <c r="D18" s="1369"/>
      <c r="E18" s="1369"/>
      <c r="F18" s="1369"/>
      <c r="G18" s="1369"/>
      <c r="H18" s="1369"/>
      <c r="I18" s="1369"/>
      <c r="J18" s="1369"/>
      <c r="K18" s="1369"/>
      <c r="L18" s="1369"/>
      <c r="M18" s="1366" t="str">
        <f>IF(M17="","",SUMIF(O70:O369,TRUE,J70:J369))</f>
        <v/>
      </c>
      <c r="N18" s="1367"/>
      <c r="O18" s="342"/>
      <c r="Q18" s="339"/>
      <c r="S18" s="958"/>
    </row>
    <row r="19" spans="1:19" x14ac:dyDescent="0.25">
      <c r="A19" s="339"/>
      <c r="B19" s="341"/>
      <c r="C19" s="1368" t="s">
        <v>1991</v>
      </c>
      <c r="D19" s="1369"/>
      <c r="E19" s="1369"/>
      <c r="F19" s="1369"/>
      <c r="G19" s="1369"/>
      <c r="H19" s="1369"/>
      <c r="I19" s="1369"/>
      <c r="J19" s="1369"/>
      <c r="K19" s="1369"/>
      <c r="L19" s="1369"/>
      <c r="M19" s="1366" t="str">
        <f>IF(L39="","",L39)</f>
        <v/>
      </c>
      <c r="N19" s="1367"/>
      <c r="O19" s="342" t="s">
        <v>198</v>
      </c>
      <c r="Q19" s="339"/>
      <c r="S19" s="958" t="s">
        <v>264</v>
      </c>
    </row>
    <row r="20" spans="1:19" ht="40.35" customHeight="1" x14ac:dyDescent="0.25">
      <c r="A20" s="339"/>
      <c r="B20" s="329"/>
      <c r="C20" s="1370" t="str">
        <f>Translations!$B$1172</f>
        <v>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v>
      </c>
      <c r="D20" s="1370"/>
      <c r="E20" s="1370"/>
      <c r="F20" s="1370"/>
      <c r="G20" s="1370"/>
      <c r="H20" s="1370"/>
      <c r="I20" s="1370"/>
      <c r="J20" s="1370"/>
      <c r="K20" s="1370"/>
      <c r="L20" s="1370"/>
      <c r="M20" s="1370"/>
      <c r="N20" s="1370"/>
      <c r="O20" s="1370"/>
      <c r="Q20" s="339"/>
      <c r="S20" s="958"/>
    </row>
    <row r="21" spans="1:19" ht="13.8" x14ac:dyDescent="0.25">
      <c r="A21" s="339"/>
      <c r="B21" s="329"/>
      <c r="C21" s="328"/>
      <c r="D21" s="328"/>
      <c r="E21" s="328"/>
      <c r="F21" s="328"/>
      <c r="G21" s="328"/>
      <c r="H21" s="328"/>
      <c r="I21" s="328"/>
      <c r="J21" s="328"/>
      <c r="K21" s="328"/>
      <c r="L21" s="328"/>
      <c r="M21" s="328"/>
      <c r="N21" s="328"/>
      <c r="O21" s="331"/>
      <c r="Q21" s="339"/>
      <c r="S21" s="958"/>
    </row>
    <row r="22" spans="1:19" x14ac:dyDescent="0.25">
      <c r="A22" s="339"/>
      <c r="B22" s="340" t="s">
        <v>266</v>
      </c>
      <c r="C22" s="340" t="str">
        <f>Translations!$B$1173</f>
        <v>Summary of fuel quantities (in tonnes):</v>
      </c>
      <c r="O22" s="343"/>
      <c r="Q22" s="339"/>
      <c r="S22" s="958"/>
    </row>
    <row r="23" spans="1:19" x14ac:dyDescent="0.25">
      <c r="A23" s="339"/>
      <c r="B23" s="341"/>
      <c r="C23" s="344"/>
      <c r="O23" s="343"/>
      <c r="Q23" s="339"/>
      <c r="S23" s="958"/>
    </row>
    <row r="24" spans="1:19" x14ac:dyDescent="0.25">
      <c r="A24" s="339"/>
      <c r="B24" s="341"/>
      <c r="C24" s="1368" t="str">
        <f>Translations!$B$1151</f>
        <v>Jet-A</v>
      </c>
      <c r="D24" s="1369"/>
      <c r="E24" s="1369"/>
      <c r="F24" s="1369"/>
      <c r="G24" s="1393"/>
      <c r="H24" s="1371" t="str">
        <f>IF($M$15="","",SUMIF($K$70:$K$369,C24,$L$70:$L$369))</f>
        <v/>
      </c>
      <c r="I24" s="1372"/>
      <c r="J24" s="1372"/>
      <c r="K24" s="1372"/>
      <c r="L24" s="1372"/>
      <c r="M24" s="1372"/>
      <c r="N24" s="1373"/>
      <c r="O24" s="342" t="s">
        <v>267</v>
      </c>
      <c r="Q24" s="339"/>
      <c r="S24" s="958"/>
    </row>
    <row r="25" spans="1:19" x14ac:dyDescent="0.25">
      <c r="A25" s="339"/>
      <c r="B25" s="341"/>
      <c r="C25" s="1368" t="str">
        <f>Translations!$B$1152</f>
        <v>Jet-A1</v>
      </c>
      <c r="D25" s="1369"/>
      <c r="E25" s="1369"/>
      <c r="F25" s="1369"/>
      <c r="G25" s="1393"/>
      <c r="H25" s="1371" t="str">
        <f>IF($M$15="","",SUMIF($K$70:$K$369,C25,$L$70:$L$369))</f>
        <v/>
      </c>
      <c r="I25" s="1372"/>
      <c r="J25" s="1372"/>
      <c r="K25" s="1372"/>
      <c r="L25" s="1372"/>
      <c r="M25" s="1372"/>
      <c r="N25" s="1373"/>
      <c r="O25" s="342" t="s">
        <v>267</v>
      </c>
      <c r="Q25" s="339"/>
      <c r="S25" s="958"/>
    </row>
    <row r="26" spans="1:19" x14ac:dyDescent="0.25">
      <c r="A26" s="339"/>
      <c r="B26" s="341"/>
      <c r="C26" s="1368" t="str">
        <f>Translations!$B$1153</f>
        <v>Jet-B</v>
      </c>
      <c r="D26" s="1369"/>
      <c r="E26" s="1369"/>
      <c r="F26" s="1369"/>
      <c r="G26" s="1369"/>
      <c r="H26" s="1371" t="str">
        <f>IF($M$15="","",SUMIF($K$70:$K$369,C26,$L$70:$L$369))</f>
        <v/>
      </c>
      <c r="I26" s="1372"/>
      <c r="J26" s="1372"/>
      <c r="K26" s="1372"/>
      <c r="L26" s="1372"/>
      <c r="M26" s="1372"/>
      <c r="N26" s="1373"/>
      <c r="O26" s="342" t="s">
        <v>267</v>
      </c>
      <c r="Q26" s="339"/>
      <c r="S26" s="958"/>
    </row>
    <row r="27" spans="1:19" x14ac:dyDescent="0.25">
      <c r="A27" s="339"/>
      <c r="B27" s="341"/>
      <c r="C27" s="1368" t="str">
        <f>Translations!$B$1154</f>
        <v>AvGas</v>
      </c>
      <c r="D27" s="1369"/>
      <c r="E27" s="1369"/>
      <c r="F27" s="1369"/>
      <c r="G27" s="1369"/>
      <c r="H27" s="1371" t="str">
        <f>IF($M$15="","",SUMIF($K$70:$K$369,C27,$L$70:$L$369))</f>
        <v/>
      </c>
      <c r="I27" s="1372"/>
      <c r="J27" s="1372"/>
      <c r="K27" s="1372"/>
      <c r="L27" s="1372"/>
      <c r="M27" s="1372"/>
      <c r="N27" s="1373"/>
      <c r="O27" s="342" t="s">
        <v>267</v>
      </c>
      <c r="Q27" s="339"/>
      <c r="S27" s="958"/>
    </row>
    <row r="28" spans="1:19" ht="13.8" x14ac:dyDescent="0.25">
      <c r="A28" s="339"/>
      <c r="B28" s="328"/>
      <c r="C28" s="328"/>
      <c r="D28" s="328"/>
      <c r="E28" s="328"/>
      <c r="F28" s="328"/>
      <c r="G28" s="328"/>
      <c r="H28" s="328"/>
      <c r="I28" s="328"/>
      <c r="J28" s="328"/>
      <c r="K28" s="328"/>
      <c r="L28" s="328"/>
      <c r="M28" s="328"/>
      <c r="N28" s="328"/>
      <c r="O28" s="328"/>
      <c r="Q28" s="339"/>
      <c r="S28" s="958"/>
    </row>
    <row r="29" spans="1:19" x14ac:dyDescent="0.25">
      <c r="A29" s="339"/>
      <c r="B29" s="340" t="s">
        <v>268</v>
      </c>
      <c r="C29" s="340" t="str">
        <f>Translations!$B$1174</f>
        <v>CORSIA eligible fuels claimed (only applicable from reporting year 2021 onwards)</v>
      </c>
      <c r="Q29" s="339"/>
      <c r="S29" s="958" t="s">
        <v>264</v>
      </c>
    </row>
    <row r="30" spans="1:19" ht="38.25" customHeight="1" thickBot="1" x14ac:dyDescent="0.3">
      <c r="A30" s="339"/>
      <c r="B30" s="345"/>
      <c r="C30" s="1355" t="s">
        <v>1988</v>
      </c>
      <c r="D30" s="1355"/>
      <c r="E30" s="1355"/>
      <c r="F30" s="1355"/>
      <c r="G30" s="1355"/>
      <c r="H30" s="1355"/>
      <c r="I30" s="1355"/>
      <c r="J30" s="1355"/>
      <c r="K30" s="1355"/>
      <c r="L30" s="1355"/>
      <c r="M30" s="1355"/>
      <c r="N30" s="1336"/>
      <c r="O30" s="1336"/>
      <c r="Q30" s="339"/>
      <c r="S30" s="958" t="s">
        <v>1989</v>
      </c>
    </row>
    <row r="31" spans="1:19" x14ac:dyDescent="0.25">
      <c r="A31" s="339"/>
      <c r="B31" s="345"/>
      <c r="C31" s="1374" t="str">
        <f>Translations!$B$1121</f>
        <v>Fuel type</v>
      </c>
      <c r="D31" s="1375"/>
      <c r="E31" s="1375"/>
      <c r="F31" s="1376"/>
      <c r="G31" s="1374" t="str">
        <f>Translations!$B$1176</f>
        <v>Total mass of the neat CORSIA eligible fuel (in tonnes)</v>
      </c>
      <c r="H31" s="1375"/>
      <c r="I31" s="1376"/>
      <c r="J31" s="1374" t="str">
        <f>Translations!$B$1177</f>
        <v>Life Cycle Emissions</v>
      </c>
      <c r="K31" s="1375"/>
      <c r="L31" s="1383" t="s">
        <v>1987</v>
      </c>
      <c r="M31" s="1384"/>
      <c r="N31" s="1389" t="str">
        <f>Translations!$B$1179</f>
        <v>Unit</v>
      </c>
      <c r="Q31" s="339"/>
      <c r="S31" s="958" t="s">
        <v>264</v>
      </c>
    </row>
    <row r="32" spans="1:19" x14ac:dyDescent="0.25">
      <c r="A32" s="339"/>
      <c r="B32" s="345"/>
      <c r="C32" s="1387" t="str">
        <f>Translations!$B$1121</f>
        <v>Fuel type</v>
      </c>
      <c r="D32" s="1376" t="str">
        <f>Translations!$B$1122</f>
        <v>Feedstock</v>
      </c>
      <c r="E32" s="1374" t="str">
        <f>Translations!$B$1123</f>
        <v>Conversion process</v>
      </c>
      <c r="F32" s="1376"/>
      <c r="G32" s="1377"/>
      <c r="H32" s="1378"/>
      <c r="I32" s="1379"/>
      <c r="J32" s="1377"/>
      <c r="K32" s="1378"/>
      <c r="L32" s="1385"/>
      <c r="M32" s="1379"/>
      <c r="N32" s="1390"/>
      <c r="Q32" s="339"/>
      <c r="S32" s="958" t="s">
        <v>264</v>
      </c>
    </row>
    <row r="33" spans="1:19" x14ac:dyDescent="0.25">
      <c r="A33" s="339"/>
      <c r="B33" s="345"/>
      <c r="C33" s="1388"/>
      <c r="D33" s="1382"/>
      <c r="E33" s="1380"/>
      <c r="F33" s="1382"/>
      <c r="G33" s="1380"/>
      <c r="H33" s="1381"/>
      <c r="I33" s="1382"/>
      <c r="J33" s="1380"/>
      <c r="K33" s="1381"/>
      <c r="L33" s="1386"/>
      <c r="M33" s="1382"/>
      <c r="N33" s="1390"/>
      <c r="Q33" s="339"/>
      <c r="S33" s="958" t="s">
        <v>264</v>
      </c>
    </row>
    <row r="34" spans="1:19" x14ac:dyDescent="0.25">
      <c r="A34" s="339"/>
      <c r="B34" s="345"/>
      <c r="C34" s="346"/>
      <c r="D34" s="347"/>
      <c r="E34" s="1358"/>
      <c r="F34" s="1360"/>
      <c r="G34" s="1358"/>
      <c r="H34" s="1359"/>
      <c r="I34" s="1360"/>
      <c r="J34" s="1358"/>
      <c r="K34" s="1359"/>
      <c r="L34" s="1361"/>
      <c r="M34" s="1360"/>
      <c r="N34" s="367" t="s">
        <v>198</v>
      </c>
      <c r="Q34" s="339"/>
      <c r="S34" s="958" t="s">
        <v>264</v>
      </c>
    </row>
    <row r="35" spans="1:19" x14ac:dyDescent="0.25">
      <c r="A35" s="339"/>
      <c r="B35" s="345"/>
      <c r="C35" s="346"/>
      <c r="D35" s="347"/>
      <c r="E35" s="1358"/>
      <c r="F35" s="1360"/>
      <c r="G35" s="1358"/>
      <c r="H35" s="1359"/>
      <c r="I35" s="1360"/>
      <c r="J35" s="1358"/>
      <c r="K35" s="1359"/>
      <c r="L35" s="1361"/>
      <c r="M35" s="1360"/>
      <c r="N35" s="367" t="s">
        <v>198</v>
      </c>
      <c r="Q35" s="339"/>
      <c r="S35" s="958" t="s">
        <v>264</v>
      </c>
    </row>
    <row r="36" spans="1:19" x14ac:dyDescent="0.25">
      <c r="A36" s="339"/>
      <c r="B36" s="345"/>
      <c r="C36" s="346"/>
      <c r="D36" s="347"/>
      <c r="E36" s="1358"/>
      <c r="F36" s="1360"/>
      <c r="G36" s="1358"/>
      <c r="H36" s="1359"/>
      <c r="I36" s="1360"/>
      <c r="J36" s="1358"/>
      <c r="K36" s="1359"/>
      <c r="L36" s="1361"/>
      <c r="M36" s="1360"/>
      <c r="N36" s="367" t="s">
        <v>198</v>
      </c>
      <c r="Q36" s="339"/>
      <c r="S36" s="958" t="s">
        <v>264</v>
      </c>
    </row>
    <row r="37" spans="1:19" x14ac:dyDescent="0.25">
      <c r="A37" s="339"/>
      <c r="B37" s="345"/>
      <c r="C37" s="346"/>
      <c r="D37" s="347"/>
      <c r="E37" s="1358"/>
      <c r="F37" s="1360"/>
      <c r="G37" s="1358"/>
      <c r="H37" s="1359"/>
      <c r="I37" s="1360"/>
      <c r="J37" s="1358"/>
      <c r="K37" s="1359"/>
      <c r="L37" s="1361"/>
      <c r="M37" s="1360"/>
      <c r="N37" s="367" t="s">
        <v>198</v>
      </c>
      <c r="Q37" s="339"/>
      <c r="S37" s="958" t="s">
        <v>264</v>
      </c>
    </row>
    <row r="38" spans="1:19" x14ac:dyDescent="0.25">
      <c r="A38" s="339"/>
      <c r="B38" s="345"/>
      <c r="C38" s="348"/>
      <c r="D38" s="349"/>
      <c r="E38" s="1356"/>
      <c r="F38" s="1357"/>
      <c r="G38" s="1358"/>
      <c r="H38" s="1359"/>
      <c r="I38" s="1360"/>
      <c r="J38" s="1358"/>
      <c r="K38" s="1359"/>
      <c r="L38" s="1361"/>
      <c r="M38" s="1360"/>
      <c r="N38" s="367" t="s">
        <v>198</v>
      </c>
      <c r="Q38" s="339"/>
      <c r="S38" s="958" t="s">
        <v>264</v>
      </c>
    </row>
    <row r="39" spans="1:19" ht="13.8" thickBot="1" x14ac:dyDescent="0.3">
      <c r="A39" s="339"/>
      <c r="B39" s="341"/>
      <c r="C39" s="1362" t="s">
        <v>1990</v>
      </c>
      <c r="D39" s="1363"/>
      <c r="E39" s="1363"/>
      <c r="F39" s="1363"/>
      <c r="G39" s="1363"/>
      <c r="H39" s="1363"/>
      <c r="I39" s="1363"/>
      <c r="J39" s="1363"/>
      <c r="K39" s="1363"/>
      <c r="L39" s="1364" t="str">
        <f>IF(COUNT(L34:M38)=0,"",  SUM(L34:M38))</f>
        <v/>
      </c>
      <c r="M39" s="1365"/>
      <c r="N39" s="368" t="s">
        <v>198</v>
      </c>
      <c r="Q39" s="339"/>
      <c r="S39" s="958" t="s">
        <v>264</v>
      </c>
    </row>
    <row r="40" spans="1:19" x14ac:dyDescent="0.25">
      <c r="A40" s="339"/>
      <c r="B40" s="341"/>
      <c r="Q40" s="339"/>
      <c r="S40" s="958"/>
    </row>
    <row r="41" spans="1:19" ht="5.0999999999999996" customHeight="1" x14ac:dyDescent="0.25">
      <c r="A41" s="339"/>
      <c r="C41" s="338"/>
      <c r="D41" s="338"/>
      <c r="E41" s="338"/>
      <c r="F41" s="338"/>
      <c r="G41" s="338"/>
      <c r="H41" s="338"/>
      <c r="I41" s="338"/>
      <c r="J41" s="338"/>
      <c r="K41" s="338"/>
      <c r="L41" s="338"/>
      <c r="M41" s="338"/>
      <c r="N41" s="338"/>
      <c r="O41" s="338"/>
      <c r="Q41" s="339"/>
      <c r="S41" s="958"/>
    </row>
    <row r="42" spans="1:19" x14ac:dyDescent="0.25">
      <c r="A42" s="339"/>
      <c r="B42" s="340" t="s">
        <v>269</v>
      </c>
      <c r="C42" s="340" t="str">
        <f>Translations!$B$1181</f>
        <v>Table of all aerodrome pairs</v>
      </c>
      <c r="Q42" s="339"/>
      <c r="S42" s="958"/>
    </row>
    <row r="43" spans="1:19" ht="26.4" customHeight="1" x14ac:dyDescent="0.25">
      <c r="A43" s="339"/>
      <c r="B43" s="330"/>
      <c r="C43" s="1355" t="str">
        <f>Translations!$B$1388</f>
        <v>Please list all aerodrome pairs on which international flights were performed, whether emissions were estimated using an emission estimation tool, the number of flights, the fuel type and the amount of fuel used.</v>
      </c>
      <c r="D43" s="1336"/>
      <c r="E43" s="1336"/>
      <c r="F43" s="1336"/>
      <c r="G43" s="1336"/>
      <c r="H43" s="1336"/>
      <c r="I43" s="1336"/>
      <c r="J43" s="1336"/>
      <c r="K43" s="1336"/>
      <c r="L43" s="1336"/>
      <c r="M43" s="1336"/>
      <c r="N43" s="1336"/>
      <c r="O43" s="1336"/>
      <c r="Q43" s="339"/>
      <c r="S43" s="958"/>
    </row>
    <row r="44" spans="1:19" ht="25.5" customHeight="1" x14ac:dyDescent="0.25">
      <c r="A44" s="339"/>
      <c r="B44" s="329"/>
      <c r="C44" s="1355" t="str">
        <f>Translations!$B$1389</f>
        <v>In each reporting year the flights subject to offsetting requirements are the flights between a Member State and States that are listed in the implementing act adopted pursuant to Article 25a(3) as well as flights between these States, and flights between Switzerland or the United Kingdom and these States.</v>
      </c>
      <c r="D44" s="1336"/>
      <c r="E44" s="1336"/>
      <c r="F44" s="1336"/>
      <c r="G44" s="1336"/>
      <c r="H44" s="1336"/>
      <c r="I44" s="1336"/>
      <c r="J44" s="1336"/>
      <c r="K44" s="1336"/>
      <c r="L44" s="1336"/>
      <c r="M44" s="1336"/>
      <c r="N44" s="1336"/>
      <c r="O44" s="1336"/>
      <c r="Q44" s="339"/>
      <c r="S44" s="958"/>
    </row>
    <row r="45" spans="1:19" ht="25.5" customHeight="1" x14ac:dyDescent="0.25">
      <c r="A45" s="339"/>
      <c r="B45" s="329"/>
      <c r="C45" s="1333" t="str">
        <f>Translations!$B$1390</f>
        <v>Furthermore, flights between EU Overseas Countries and Territories and EEA States may be subject to offsetting requirements at the discretion of each EEA State according to transposition of the EU ETS Directive into national legislation.</v>
      </c>
      <c r="D45" s="1334"/>
      <c r="E45" s="1334"/>
      <c r="F45" s="1334"/>
      <c r="G45" s="1334"/>
      <c r="H45" s="1334"/>
      <c r="I45" s="1334"/>
      <c r="J45" s="1334"/>
      <c r="K45" s="1334"/>
      <c r="L45" s="1334"/>
      <c r="M45" s="1334"/>
      <c r="N45" s="1334"/>
      <c r="O45" s="1334"/>
      <c r="Q45" s="339"/>
      <c r="S45" s="958"/>
    </row>
    <row r="46" spans="1:19" x14ac:dyDescent="0.25">
      <c r="A46" s="339"/>
      <c r="B46" s="390"/>
      <c r="C46" s="1335" t="str">
        <f>Translations!$B$1357</f>
        <v>This annex to the annual emissions report is used for consistency and compliance checking of data in the previous sections.</v>
      </c>
      <c r="D46" s="1334"/>
      <c r="E46" s="1334"/>
      <c r="F46" s="1334"/>
      <c r="G46" s="1334"/>
      <c r="H46" s="1336"/>
      <c r="I46" s="1336"/>
      <c r="J46" s="1336"/>
      <c r="K46" s="1336"/>
      <c r="L46" s="1336"/>
      <c r="M46" s="1336"/>
      <c r="N46" s="1336"/>
      <c r="O46" s="1336"/>
      <c r="Q46" s="339"/>
      <c r="S46" s="958"/>
    </row>
    <row r="47" spans="1:19" ht="26.4" customHeight="1" x14ac:dyDescent="0.25">
      <c r="A47" s="339"/>
      <c r="B47" s="390"/>
      <c r="C47" s="1337" t="str">
        <f>Translations!$B$1391</f>
        <v xml:space="preserve">In addition, from 2023, Article 14(6) of the EU ETS Directive requires the Commission to publish annually aggregated data of flights per pair of intra-EEA aerodrome pair, and some other information per aircraft operator.  </v>
      </c>
      <c r="D47" s="1338"/>
      <c r="E47" s="1338"/>
      <c r="F47" s="1338"/>
      <c r="G47" s="1338"/>
      <c r="H47" s="1336"/>
      <c r="I47" s="1336"/>
      <c r="J47" s="1336"/>
      <c r="K47" s="1336"/>
      <c r="L47" s="1336"/>
      <c r="M47" s="1336"/>
      <c r="N47" s="1336"/>
      <c r="O47" s="1336"/>
      <c r="Q47" s="339"/>
      <c r="S47" s="958"/>
    </row>
    <row r="48" spans="1:19" ht="26.4" customHeight="1" x14ac:dyDescent="0.25">
      <c r="A48" s="339"/>
      <c r="B48" s="390"/>
      <c r="C48" s="1335" t="str">
        <f>Translations!$B$1392</f>
        <v>However, that article also allows aircraft operators to request that some data are treated as confidential, i.e. that the publication of data is done at a higher aggregated level. For such request, the Directive specifies:</v>
      </c>
      <c r="D48" s="1334"/>
      <c r="E48" s="1334"/>
      <c r="F48" s="1334"/>
      <c r="G48" s="1334"/>
      <c r="H48" s="1336"/>
      <c r="I48" s="1336"/>
      <c r="J48" s="1336"/>
      <c r="K48" s="1336"/>
      <c r="L48" s="1336"/>
      <c r="M48" s="1336"/>
      <c r="N48" s="1336"/>
      <c r="O48" s="1336"/>
      <c r="Q48" s="339"/>
      <c r="S48" s="958"/>
    </row>
    <row r="49" spans="1:19" ht="66.45" customHeight="1" x14ac:dyDescent="0.25">
      <c r="A49" s="339"/>
      <c r="B49" s="390"/>
      <c r="C49" s="1335" t="str">
        <f>Translations!$B$1360</f>
        <v>"[...]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v>
      </c>
      <c r="D49" s="1334"/>
      <c r="E49" s="1334"/>
      <c r="F49" s="1334"/>
      <c r="G49" s="1334"/>
      <c r="H49" s="1336"/>
      <c r="I49" s="1336"/>
      <c r="J49" s="1336"/>
      <c r="K49" s="1336"/>
      <c r="L49" s="1336"/>
      <c r="M49" s="1336"/>
      <c r="N49" s="1336"/>
      <c r="O49" s="1336"/>
      <c r="Q49" s="339"/>
      <c r="S49" s="958"/>
    </row>
    <row r="50" spans="1:19" x14ac:dyDescent="0.25">
      <c r="A50" s="339"/>
      <c r="B50" s="390" t="s">
        <v>270</v>
      </c>
      <c r="C50" s="543" t="str">
        <f>Translations!$B$1015</f>
        <v>Please indicate if the data in this annex is considered confidential:</v>
      </c>
      <c r="D50" s="544"/>
      <c r="E50" s="544"/>
      <c r="F50" s="544"/>
      <c r="N50" s="172" t="b">
        <v>0</v>
      </c>
      <c r="Q50" s="339"/>
      <c r="S50" s="958"/>
    </row>
    <row r="51" spans="1:19" ht="5.0999999999999996" customHeight="1" x14ac:dyDescent="0.25">
      <c r="A51" s="339"/>
      <c r="B51" s="390"/>
      <c r="C51" s="543"/>
      <c r="D51" s="544"/>
      <c r="E51" s="544"/>
      <c r="F51" s="544"/>
      <c r="G51" s="547"/>
      <c r="Q51" s="339"/>
      <c r="S51" s="958"/>
    </row>
    <row r="52" spans="1:19" ht="25.5" customHeight="1" x14ac:dyDescent="0.25">
      <c r="A52" s="339"/>
      <c r="B52" s="390" t="s">
        <v>271</v>
      </c>
      <c r="C52" s="1339" t="str">
        <f>Translations!$B$1393</f>
        <v>If you have answered "True" under point c1, do you want to apply the same reasoning as given in section (11)(a)?</v>
      </c>
      <c r="D52" s="960"/>
      <c r="E52" s="960"/>
      <c r="F52" s="960"/>
      <c r="G52" s="960"/>
      <c r="H52" s="960"/>
      <c r="I52" s="960"/>
      <c r="J52" s="960"/>
      <c r="K52" s="960"/>
      <c r="L52" s="960"/>
      <c r="M52" s="960"/>
      <c r="N52" s="172"/>
      <c r="Q52" s="339"/>
      <c r="S52" s="958"/>
    </row>
    <row r="53" spans="1:19" ht="5.0999999999999996" customHeight="1" x14ac:dyDescent="0.25">
      <c r="A53" s="339"/>
      <c r="B53" s="545"/>
      <c r="C53" s="389"/>
      <c r="D53" s="389"/>
      <c r="E53" s="389"/>
      <c r="F53" s="546"/>
      <c r="G53" s="546"/>
      <c r="Q53" s="339"/>
      <c r="S53" s="958"/>
    </row>
    <row r="54" spans="1:19" ht="13.35" customHeight="1" x14ac:dyDescent="0.25">
      <c r="A54" s="339"/>
      <c r="B54" s="545"/>
      <c r="C54" s="1346" t="str">
        <f>Translations!$B$1374</f>
        <v>Click here to check content of section (11)(a)</v>
      </c>
      <c r="D54" s="1347"/>
      <c r="E54" s="1347"/>
      <c r="F54" s="1347"/>
      <c r="G54" s="1347"/>
      <c r="H54" s="1347"/>
      <c r="I54" s="1347"/>
      <c r="J54" s="549"/>
      <c r="K54" s="549"/>
      <c r="L54" s="549"/>
      <c r="M54" s="549"/>
      <c r="N54" s="549"/>
      <c r="O54" s="549"/>
      <c r="Q54" s="339"/>
      <c r="S54" s="958"/>
    </row>
    <row r="55" spans="1:19" ht="26.4" customHeight="1" x14ac:dyDescent="0.25">
      <c r="A55" s="339"/>
      <c r="B55" s="390" t="s">
        <v>272</v>
      </c>
      <c r="C55" s="1339" t="s">
        <v>1917</v>
      </c>
      <c r="D55" s="1017"/>
      <c r="E55" s="1017"/>
      <c r="F55" s="1017"/>
      <c r="G55" s="1017"/>
      <c r="H55" s="960"/>
      <c r="I55" s="960"/>
      <c r="J55" s="960"/>
      <c r="K55" s="960"/>
      <c r="L55" s="960"/>
      <c r="M55" s="960"/>
      <c r="N55" s="960"/>
      <c r="O55" s="960"/>
      <c r="Q55" s="339"/>
      <c r="S55" s="958"/>
    </row>
    <row r="56" spans="1:19" ht="26.4" customHeight="1" x14ac:dyDescent="0.25">
      <c r="A56" s="339"/>
      <c r="B56" s="390"/>
      <c r="C56" s="1303"/>
      <c r="D56" s="1304"/>
      <c r="E56" s="1304"/>
      <c r="F56" s="1304"/>
      <c r="G56" s="1304"/>
      <c r="H56" s="1304"/>
      <c r="I56" s="1304"/>
      <c r="J56" s="1304"/>
      <c r="K56" s="1304"/>
      <c r="L56" s="1304"/>
      <c r="M56" s="1304"/>
      <c r="N56" s="1304"/>
      <c r="O56" s="1305"/>
      <c r="Q56" s="339"/>
      <c r="S56" s="958"/>
    </row>
    <row r="57" spans="1:19" ht="26.4" customHeight="1" x14ac:dyDescent="0.25">
      <c r="A57" s="339"/>
      <c r="B57" s="390"/>
      <c r="C57" s="1294"/>
      <c r="D57" s="1295"/>
      <c r="E57" s="1295"/>
      <c r="F57" s="1295"/>
      <c r="G57" s="1295"/>
      <c r="H57" s="1295"/>
      <c r="I57" s="1295"/>
      <c r="J57" s="1295"/>
      <c r="K57" s="1295"/>
      <c r="L57" s="1295"/>
      <c r="M57" s="1295"/>
      <c r="N57" s="1295"/>
      <c r="O57" s="1296"/>
      <c r="Q57" s="339"/>
      <c r="S57" s="958"/>
    </row>
    <row r="58" spans="1:19" ht="26.4" customHeight="1" x14ac:dyDescent="0.25">
      <c r="A58" s="339"/>
      <c r="B58" s="390"/>
      <c r="C58" s="1294"/>
      <c r="D58" s="1295"/>
      <c r="E58" s="1295"/>
      <c r="F58" s="1295"/>
      <c r="G58" s="1295"/>
      <c r="H58" s="1295"/>
      <c r="I58" s="1295"/>
      <c r="J58" s="1295"/>
      <c r="K58" s="1295"/>
      <c r="L58" s="1295"/>
      <c r="M58" s="1295"/>
      <c r="N58" s="1295"/>
      <c r="O58" s="1296"/>
      <c r="Q58" s="339"/>
      <c r="S58" s="958"/>
    </row>
    <row r="59" spans="1:19" ht="26.4" customHeight="1" x14ac:dyDescent="0.25">
      <c r="A59" s="339"/>
      <c r="B59" s="390"/>
      <c r="C59" s="1294"/>
      <c r="D59" s="1295"/>
      <c r="E59" s="1295"/>
      <c r="F59" s="1295"/>
      <c r="G59" s="1295"/>
      <c r="H59" s="1295"/>
      <c r="I59" s="1295"/>
      <c r="J59" s="1295"/>
      <c r="K59" s="1295"/>
      <c r="L59" s="1295"/>
      <c r="M59" s="1295"/>
      <c r="N59" s="1295"/>
      <c r="O59" s="1296"/>
      <c r="Q59" s="339"/>
      <c r="S59" s="958"/>
    </row>
    <row r="60" spans="1:19" ht="26.4" customHeight="1" x14ac:dyDescent="0.25">
      <c r="A60" s="339"/>
      <c r="B60" s="390"/>
      <c r="C60" s="1306"/>
      <c r="D60" s="1307"/>
      <c r="E60" s="1307"/>
      <c r="F60" s="1307"/>
      <c r="G60" s="1307"/>
      <c r="H60" s="1307"/>
      <c r="I60" s="1307"/>
      <c r="J60" s="1307"/>
      <c r="K60" s="1307"/>
      <c r="L60" s="1307"/>
      <c r="M60" s="1307"/>
      <c r="N60" s="1307"/>
      <c r="O60" s="1308"/>
      <c r="Q60" s="339"/>
      <c r="S60" s="958"/>
    </row>
    <row r="61" spans="1:19" x14ac:dyDescent="0.25">
      <c r="A61" s="339"/>
      <c r="B61" s="390"/>
      <c r="C61" s="1340" t="str">
        <f>Translations!$B$1395</f>
        <v>Note that the administering Member State or the Commission may decide not to follow your request in case the reasons for not publishing data are not found conclusive.</v>
      </c>
      <c r="D61" s="1341"/>
      <c r="E61" s="1341"/>
      <c r="F61" s="1341"/>
      <c r="G61" s="1341"/>
      <c r="H61" s="1164"/>
      <c r="I61" s="1164"/>
      <c r="J61" s="1164"/>
      <c r="K61" s="1164"/>
      <c r="L61" s="1164"/>
      <c r="M61" s="1164"/>
      <c r="N61" s="1164"/>
      <c r="O61" s="1164"/>
      <c r="Q61" s="339"/>
      <c r="S61" s="958"/>
    </row>
    <row r="62" spans="1:19" ht="26.4" customHeight="1" x14ac:dyDescent="0.25">
      <c r="A62" s="339"/>
      <c r="B62" s="390" t="s">
        <v>273</v>
      </c>
      <c r="C62" s="1342" t="str">
        <f>Translations!$B$1363</f>
        <v>In case the space above under point (a1) is not sufficient for explaining your reasons, you may attach a comprehensive explanation in a separate file. In this case, please enter here the filename of the attached file:</v>
      </c>
      <c r="D62" s="1017"/>
      <c r="E62" s="1017"/>
      <c r="F62" s="1017"/>
      <c r="G62" s="1017"/>
      <c r="H62" s="960"/>
      <c r="I62" s="960"/>
      <c r="J62" s="960"/>
      <c r="K62" s="960"/>
      <c r="L62" s="960"/>
      <c r="M62" s="960"/>
      <c r="N62" s="960"/>
      <c r="O62" s="960"/>
      <c r="Q62" s="339"/>
      <c r="S62" s="958"/>
    </row>
    <row r="63" spans="1:19" x14ac:dyDescent="0.25">
      <c r="A63" s="339"/>
      <c r="B63" s="390"/>
      <c r="C63" s="543" t="str">
        <f>Translations!$B$1364</f>
        <v>Filename of attachment, if applicable:</v>
      </c>
      <c r="D63" s="541"/>
      <c r="K63" s="1343"/>
      <c r="L63" s="1344"/>
      <c r="M63" s="1344"/>
      <c r="N63" s="1345"/>
      <c r="Q63" s="339"/>
      <c r="S63" s="958"/>
    </row>
    <row r="64" spans="1:19" x14ac:dyDescent="0.25">
      <c r="A64" s="339"/>
      <c r="B64" s="341"/>
      <c r="Q64" s="339"/>
      <c r="S64" s="958"/>
    </row>
    <row r="65" spans="1:19" x14ac:dyDescent="0.25">
      <c r="A65" s="339"/>
      <c r="B65" s="548" t="s">
        <v>274</v>
      </c>
      <c r="C65" s="1351" t="str">
        <f>Translations!$B$1184</f>
        <v>Departure</v>
      </c>
      <c r="D65" s="1351"/>
      <c r="E65" s="1351"/>
      <c r="F65" s="1351" t="str">
        <f>Translations!$B$1185</f>
        <v>Arrival</v>
      </c>
      <c r="G65" s="1351"/>
      <c r="H65" s="1351"/>
      <c r="I65" s="1354" t="str">
        <f>Translations!$B$1186</f>
        <v>CO2 emissions estimated with a tool?</v>
      </c>
      <c r="J65" s="1351" t="str">
        <f>Translations!$B$1187</f>
        <v>Total No. of flights</v>
      </c>
      <c r="K65" s="1351" t="str">
        <f>Translations!$B$1121</f>
        <v>Fuel type</v>
      </c>
      <c r="L65" s="1351" t="str">
        <f>Translations!$B$1188</f>
        <v>Total amount of fuel used (in tonnes)</v>
      </c>
      <c r="M65" s="1351" t="s">
        <v>1918</v>
      </c>
      <c r="N65" s="1351" t="str">
        <f>Translations!$B$1190</f>
        <v>CO2 emissions (in tonnes)</v>
      </c>
      <c r="O65" s="1352" t="str">
        <f>Translations!$B$1191</f>
        <v>Subject to offsetting requirements?</v>
      </c>
      <c r="Q65" s="339"/>
      <c r="S65" s="958"/>
    </row>
    <row r="66" spans="1:19" x14ac:dyDescent="0.25">
      <c r="A66" s="339"/>
      <c r="C66" s="1351"/>
      <c r="D66" s="1351"/>
      <c r="E66" s="1351"/>
      <c r="F66" s="1351"/>
      <c r="G66" s="1351"/>
      <c r="H66" s="1351"/>
      <c r="I66" s="1353"/>
      <c r="J66" s="1351"/>
      <c r="K66" s="1351"/>
      <c r="L66" s="1351"/>
      <c r="M66" s="1351"/>
      <c r="N66" s="1351"/>
      <c r="O66" s="1353"/>
      <c r="Q66" s="339"/>
      <c r="S66" s="958"/>
    </row>
    <row r="67" spans="1:19" x14ac:dyDescent="0.25">
      <c r="A67" s="339"/>
      <c r="C67" s="1351" t="str">
        <f>Translations!$B$1192</f>
        <v>ICAO airport code</v>
      </c>
      <c r="D67" s="1351" t="str">
        <f>Translations!$B$1193</f>
        <v>State</v>
      </c>
      <c r="E67" s="1351"/>
      <c r="F67" s="1351" t="str">
        <f>Translations!$B$1192</f>
        <v>ICAO airport code</v>
      </c>
      <c r="G67" s="1351" t="str">
        <f>Translations!$B$1193</f>
        <v>State</v>
      </c>
      <c r="H67" s="1351"/>
      <c r="I67" s="1353"/>
      <c r="J67" s="1351"/>
      <c r="K67" s="1351"/>
      <c r="L67" s="1351"/>
      <c r="M67" s="1351"/>
      <c r="N67" s="1351"/>
      <c r="O67" s="1353"/>
      <c r="Q67" s="339"/>
      <c r="S67" s="958"/>
    </row>
    <row r="68" spans="1:19" x14ac:dyDescent="0.25">
      <c r="A68" s="339"/>
      <c r="C68" s="1351"/>
      <c r="D68" s="1351"/>
      <c r="E68" s="1351"/>
      <c r="F68" s="1351"/>
      <c r="G68" s="1351"/>
      <c r="H68" s="1351"/>
      <c r="I68" s="1353"/>
      <c r="J68" s="1351"/>
      <c r="K68" s="1351"/>
      <c r="L68" s="1351"/>
      <c r="M68" s="1351"/>
      <c r="N68" s="1351"/>
      <c r="O68" s="1353"/>
      <c r="Q68" s="339"/>
      <c r="S68" s="958"/>
    </row>
    <row r="69" spans="1:19" x14ac:dyDescent="0.25">
      <c r="A69" s="339"/>
      <c r="C69" s="1352"/>
      <c r="D69" s="1352"/>
      <c r="E69" s="1352"/>
      <c r="F69" s="1352"/>
      <c r="G69" s="1352"/>
      <c r="H69" s="1352"/>
      <c r="I69" s="1353"/>
      <c r="J69" s="1352"/>
      <c r="K69" s="1352"/>
      <c r="L69" s="1352"/>
      <c r="M69" s="1352"/>
      <c r="N69" s="1352"/>
      <c r="O69" s="1353"/>
      <c r="Q69" s="339"/>
      <c r="S69" s="958"/>
    </row>
    <row r="70" spans="1:19" x14ac:dyDescent="0.25">
      <c r="A70" s="339"/>
      <c r="C70" s="346"/>
      <c r="D70" s="1349"/>
      <c r="E70" s="1349"/>
      <c r="F70" s="346"/>
      <c r="G70" s="1349"/>
      <c r="H70" s="1349"/>
      <c r="I70" s="346"/>
      <c r="J70" s="352"/>
      <c r="K70" s="346"/>
      <c r="L70" s="353"/>
      <c r="M70" s="350" t="str">
        <f t="shared" ref="M70:M133" si="0">IF(K70="","", INDEX(CNTR_EFListSelected,MATCH(K70,CORSIA_FuelsList,0)))</f>
        <v/>
      </c>
      <c r="N70" s="351" t="str">
        <f>IF(COUNT(L70:M70)=2,L70*M70,"")</f>
        <v/>
      </c>
      <c r="O70" s="346"/>
      <c r="Q70" s="339"/>
      <c r="S70" s="958"/>
    </row>
    <row r="71" spans="1:19" x14ac:dyDescent="0.25">
      <c r="A71" s="339"/>
      <c r="C71" s="346"/>
      <c r="D71" s="1349"/>
      <c r="E71" s="1349"/>
      <c r="F71" s="346"/>
      <c r="G71" s="1349"/>
      <c r="H71" s="1349"/>
      <c r="I71" s="346"/>
      <c r="J71" s="352"/>
      <c r="K71" s="346"/>
      <c r="L71" s="353"/>
      <c r="M71" s="350" t="str">
        <f t="shared" si="0"/>
        <v/>
      </c>
      <c r="N71" s="351" t="str">
        <f t="shared" ref="N71:N134" si="1">IF(COUNT(L71:M71)=2,L71*M71,"")</f>
        <v/>
      </c>
      <c r="O71" s="346"/>
      <c r="Q71" s="339"/>
      <c r="S71" s="958"/>
    </row>
    <row r="72" spans="1:19" x14ac:dyDescent="0.25">
      <c r="A72" s="339"/>
      <c r="C72" s="346"/>
      <c r="D72" s="1349"/>
      <c r="E72" s="1349"/>
      <c r="F72" s="346"/>
      <c r="G72" s="1349"/>
      <c r="H72" s="1349"/>
      <c r="I72" s="346"/>
      <c r="J72" s="352"/>
      <c r="K72" s="346"/>
      <c r="L72" s="353"/>
      <c r="M72" s="350" t="str">
        <f t="shared" si="0"/>
        <v/>
      </c>
      <c r="N72" s="351" t="str">
        <f t="shared" si="1"/>
        <v/>
      </c>
      <c r="O72" s="346"/>
      <c r="Q72" s="339"/>
      <c r="S72" s="958"/>
    </row>
    <row r="73" spans="1:19" x14ac:dyDescent="0.25">
      <c r="A73" s="339"/>
      <c r="C73" s="346"/>
      <c r="D73" s="1349"/>
      <c r="E73" s="1349"/>
      <c r="F73" s="346"/>
      <c r="G73" s="1349"/>
      <c r="H73" s="1349"/>
      <c r="I73" s="346"/>
      <c r="J73" s="352"/>
      <c r="K73" s="346"/>
      <c r="L73" s="353"/>
      <c r="M73" s="350" t="str">
        <f t="shared" si="0"/>
        <v/>
      </c>
      <c r="N73" s="351" t="str">
        <f t="shared" si="1"/>
        <v/>
      </c>
      <c r="O73" s="346"/>
      <c r="Q73" s="339"/>
      <c r="S73" s="958"/>
    </row>
    <row r="74" spans="1:19" x14ac:dyDescent="0.25">
      <c r="A74" s="339"/>
      <c r="C74" s="346"/>
      <c r="D74" s="1349"/>
      <c r="E74" s="1349"/>
      <c r="F74" s="346"/>
      <c r="G74" s="1349"/>
      <c r="H74" s="1349"/>
      <c r="I74" s="346"/>
      <c r="J74" s="352"/>
      <c r="K74" s="346"/>
      <c r="L74" s="353"/>
      <c r="M74" s="350" t="str">
        <f t="shared" si="0"/>
        <v/>
      </c>
      <c r="N74" s="351" t="str">
        <f t="shared" si="1"/>
        <v/>
      </c>
      <c r="O74" s="346"/>
      <c r="Q74" s="339"/>
      <c r="S74" s="958"/>
    </row>
    <row r="75" spans="1:19" x14ac:dyDescent="0.25">
      <c r="A75" s="339"/>
      <c r="C75" s="346"/>
      <c r="D75" s="1349"/>
      <c r="E75" s="1349"/>
      <c r="F75" s="346"/>
      <c r="G75" s="1349"/>
      <c r="H75" s="1349"/>
      <c r="I75" s="346"/>
      <c r="J75" s="352"/>
      <c r="K75" s="346"/>
      <c r="L75" s="353"/>
      <c r="M75" s="350" t="str">
        <f t="shared" si="0"/>
        <v/>
      </c>
      <c r="N75" s="351" t="str">
        <f t="shared" si="1"/>
        <v/>
      </c>
      <c r="O75" s="346"/>
      <c r="Q75" s="339"/>
      <c r="S75" s="958"/>
    </row>
    <row r="76" spans="1:19" x14ac:dyDescent="0.25">
      <c r="A76" s="339"/>
      <c r="C76" s="346"/>
      <c r="D76" s="1349"/>
      <c r="E76" s="1349"/>
      <c r="F76" s="346"/>
      <c r="G76" s="1349"/>
      <c r="H76" s="1349"/>
      <c r="I76" s="346"/>
      <c r="J76" s="352"/>
      <c r="K76" s="346"/>
      <c r="L76" s="353"/>
      <c r="M76" s="350" t="str">
        <f t="shared" si="0"/>
        <v/>
      </c>
      <c r="N76" s="351" t="str">
        <f t="shared" si="1"/>
        <v/>
      </c>
      <c r="O76" s="346"/>
      <c r="Q76" s="339"/>
      <c r="S76" s="958"/>
    </row>
    <row r="77" spans="1:19" x14ac:dyDescent="0.25">
      <c r="A77" s="339"/>
      <c r="C77" s="346"/>
      <c r="D77" s="1349"/>
      <c r="E77" s="1349"/>
      <c r="F77" s="346"/>
      <c r="G77" s="1349"/>
      <c r="H77" s="1349"/>
      <c r="I77" s="346"/>
      <c r="J77" s="352"/>
      <c r="K77" s="346"/>
      <c r="L77" s="353"/>
      <c r="M77" s="350" t="str">
        <f t="shared" si="0"/>
        <v/>
      </c>
      <c r="N77" s="351" t="str">
        <f t="shared" si="1"/>
        <v/>
      </c>
      <c r="O77" s="346"/>
      <c r="Q77" s="339"/>
      <c r="S77" s="958"/>
    </row>
    <row r="78" spans="1:19" x14ac:dyDescent="0.25">
      <c r="A78" s="339"/>
      <c r="C78" s="346"/>
      <c r="D78" s="1349"/>
      <c r="E78" s="1349"/>
      <c r="F78" s="346"/>
      <c r="G78" s="1349"/>
      <c r="H78" s="1349"/>
      <c r="I78" s="346"/>
      <c r="J78" s="352"/>
      <c r="K78" s="346"/>
      <c r="L78" s="353"/>
      <c r="M78" s="350" t="str">
        <f t="shared" si="0"/>
        <v/>
      </c>
      <c r="N78" s="351" t="str">
        <f t="shared" si="1"/>
        <v/>
      </c>
      <c r="O78" s="346"/>
      <c r="Q78" s="339"/>
      <c r="S78" s="958"/>
    </row>
    <row r="79" spans="1:19" x14ac:dyDescent="0.25">
      <c r="A79" s="339"/>
      <c r="C79" s="346"/>
      <c r="D79" s="1349"/>
      <c r="E79" s="1349"/>
      <c r="F79" s="346"/>
      <c r="G79" s="1349"/>
      <c r="H79" s="1349"/>
      <c r="I79" s="346"/>
      <c r="J79" s="352"/>
      <c r="K79" s="346"/>
      <c r="L79" s="353"/>
      <c r="M79" s="350" t="str">
        <f t="shared" si="0"/>
        <v/>
      </c>
      <c r="N79" s="351" t="str">
        <f t="shared" si="1"/>
        <v/>
      </c>
      <c r="O79" s="346"/>
      <c r="Q79" s="339"/>
      <c r="S79" s="958"/>
    </row>
    <row r="80" spans="1:19" x14ac:dyDescent="0.25">
      <c r="A80" s="339"/>
      <c r="C80" s="346"/>
      <c r="D80" s="1349"/>
      <c r="E80" s="1349"/>
      <c r="F80" s="346"/>
      <c r="G80" s="1349"/>
      <c r="H80" s="1349"/>
      <c r="I80" s="346"/>
      <c r="J80" s="352"/>
      <c r="K80" s="346"/>
      <c r="L80" s="353"/>
      <c r="M80" s="350" t="str">
        <f t="shared" si="0"/>
        <v/>
      </c>
      <c r="N80" s="351" t="str">
        <f t="shared" si="1"/>
        <v/>
      </c>
      <c r="O80" s="346"/>
      <c r="Q80" s="339"/>
      <c r="S80" s="958"/>
    </row>
    <row r="81" spans="1:19" x14ac:dyDescent="0.25">
      <c r="A81" s="339"/>
      <c r="C81" s="346"/>
      <c r="D81" s="1349"/>
      <c r="E81" s="1349"/>
      <c r="F81" s="346"/>
      <c r="G81" s="1349"/>
      <c r="H81" s="1349"/>
      <c r="I81" s="346"/>
      <c r="J81" s="352"/>
      <c r="K81" s="346"/>
      <c r="L81" s="353"/>
      <c r="M81" s="350" t="str">
        <f t="shared" si="0"/>
        <v/>
      </c>
      <c r="N81" s="351" t="str">
        <f t="shared" si="1"/>
        <v/>
      </c>
      <c r="O81" s="346"/>
      <c r="Q81" s="339"/>
      <c r="S81" s="958"/>
    </row>
    <row r="82" spans="1:19" x14ac:dyDescent="0.25">
      <c r="A82" s="339"/>
      <c r="C82" s="346"/>
      <c r="D82" s="1349"/>
      <c r="E82" s="1349"/>
      <c r="F82" s="346"/>
      <c r="G82" s="1349"/>
      <c r="H82" s="1349"/>
      <c r="I82" s="346"/>
      <c r="J82" s="352"/>
      <c r="K82" s="346"/>
      <c r="L82" s="353"/>
      <c r="M82" s="350" t="str">
        <f t="shared" si="0"/>
        <v/>
      </c>
      <c r="N82" s="351" t="str">
        <f t="shared" si="1"/>
        <v/>
      </c>
      <c r="O82" s="346"/>
      <c r="Q82" s="339"/>
      <c r="S82" s="958"/>
    </row>
    <row r="83" spans="1:19" x14ac:dyDescent="0.25">
      <c r="A83" s="339"/>
      <c r="C83" s="346"/>
      <c r="D83" s="1349"/>
      <c r="E83" s="1349"/>
      <c r="F83" s="346"/>
      <c r="G83" s="1349"/>
      <c r="H83" s="1349"/>
      <c r="I83" s="346"/>
      <c r="J83" s="352"/>
      <c r="K83" s="346"/>
      <c r="L83" s="353"/>
      <c r="M83" s="350" t="str">
        <f t="shared" si="0"/>
        <v/>
      </c>
      <c r="N83" s="351" t="str">
        <f t="shared" si="1"/>
        <v/>
      </c>
      <c r="O83" s="346"/>
      <c r="Q83" s="339"/>
      <c r="S83" s="958"/>
    </row>
    <row r="84" spans="1:19" x14ac:dyDescent="0.25">
      <c r="A84" s="339"/>
      <c r="C84" s="346"/>
      <c r="D84" s="1349"/>
      <c r="E84" s="1349"/>
      <c r="F84" s="346"/>
      <c r="G84" s="1349"/>
      <c r="H84" s="1349"/>
      <c r="I84" s="346"/>
      <c r="J84" s="352"/>
      <c r="K84" s="346"/>
      <c r="L84" s="353"/>
      <c r="M84" s="350" t="str">
        <f t="shared" si="0"/>
        <v/>
      </c>
      <c r="N84" s="351" t="str">
        <f t="shared" si="1"/>
        <v/>
      </c>
      <c r="O84" s="346"/>
      <c r="Q84" s="339"/>
      <c r="S84" s="958"/>
    </row>
    <row r="85" spans="1:19" x14ac:dyDescent="0.25">
      <c r="A85" s="339"/>
      <c r="C85" s="346"/>
      <c r="D85" s="1349"/>
      <c r="E85" s="1349"/>
      <c r="F85" s="346"/>
      <c r="G85" s="1349"/>
      <c r="H85" s="1349"/>
      <c r="I85" s="346"/>
      <c r="J85" s="352"/>
      <c r="K85" s="346"/>
      <c r="L85" s="353"/>
      <c r="M85" s="350" t="str">
        <f t="shared" si="0"/>
        <v/>
      </c>
      <c r="N85" s="351" t="str">
        <f t="shared" si="1"/>
        <v/>
      </c>
      <c r="O85" s="346"/>
      <c r="Q85" s="339"/>
      <c r="S85" s="958"/>
    </row>
    <row r="86" spans="1:19" x14ac:dyDescent="0.25">
      <c r="A86" s="339"/>
      <c r="C86" s="346"/>
      <c r="D86" s="1349"/>
      <c r="E86" s="1349"/>
      <c r="F86" s="346"/>
      <c r="G86" s="1349"/>
      <c r="H86" s="1349"/>
      <c r="I86" s="346"/>
      <c r="J86" s="352"/>
      <c r="K86" s="346"/>
      <c r="L86" s="353"/>
      <c r="M86" s="350" t="str">
        <f t="shared" si="0"/>
        <v/>
      </c>
      <c r="N86" s="351" t="str">
        <f t="shared" si="1"/>
        <v/>
      </c>
      <c r="O86" s="346"/>
      <c r="Q86" s="339"/>
      <c r="S86" s="958"/>
    </row>
    <row r="87" spans="1:19" x14ac:dyDescent="0.25">
      <c r="A87" s="339"/>
      <c r="C87" s="346"/>
      <c r="D87" s="1349"/>
      <c r="E87" s="1349"/>
      <c r="F87" s="346"/>
      <c r="G87" s="1349"/>
      <c r="H87" s="1349"/>
      <c r="I87" s="346"/>
      <c r="J87" s="352"/>
      <c r="K87" s="346"/>
      <c r="L87" s="353"/>
      <c r="M87" s="350" t="str">
        <f t="shared" si="0"/>
        <v/>
      </c>
      <c r="N87" s="351" t="str">
        <f t="shared" si="1"/>
        <v/>
      </c>
      <c r="O87" s="346"/>
      <c r="Q87" s="339"/>
      <c r="S87" s="958"/>
    </row>
    <row r="88" spans="1:19" x14ac:dyDescent="0.25">
      <c r="A88" s="339"/>
      <c r="C88" s="346"/>
      <c r="D88" s="1349"/>
      <c r="E88" s="1349"/>
      <c r="F88" s="346"/>
      <c r="G88" s="1349"/>
      <c r="H88" s="1349"/>
      <c r="I88" s="346"/>
      <c r="J88" s="352"/>
      <c r="K88" s="346"/>
      <c r="L88" s="353"/>
      <c r="M88" s="350" t="str">
        <f t="shared" si="0"/>
        <v/>
      </c>
      <c r="N88" s="351" t="str">
        <f t="shared" si="1"/>
        <v/>
      </c>
      <c r="O88" s="346"/>
      <c r="Q88" s="339"/>
      <c r="S88" s="958"/>
    </row>
    <row r="89" spans="1:19" x14ac:dyDescent="0.25">
      <c r="A89" s="339"/>
      <c r="C89" s="346"/>
      <c r="D89" s="1349"/>
      <c r="E89" s="1349"/>
      <c r="F89" s="346"/>
      <c r="G89" s="1349"/>
      <c r="H89" s="1349"/>
      <c r="I89" s="346"/>
      <c r="J89" s="352"/>
      <c r="K89" s="346"/>
      <c r="L89" s="353"/>
      <c r="M89" s="350" t="str">
        <f t="shared" si="0"/>
        <v/>
      </c>
      <c r="N89" s="351" t="str">
        <f t="shared" si="1"/>
        <v/>
      </c>
      <c r="O89" s="346"/>
      <c r="Q89" s="339"/>
      <c r="S89" s="958"/>
    </row>
    <row r="90" spans="1:19" x14ac:dyDescent="0.25">
      <c r="A90" s="339"/>
      <c r="C90" s="346"/>
      <c r="D90" s="1349"/>
      <c r="E90" s="1349"/>
      <c r="F90" s="346"/>
      <c r="G90" s="1349"/>
      <c r="H90" s="1349"/>
      <c r="I90" s="346"/>
      <c r="J90" s="352"/>
      <c r="K90" s="346"/>
      <c r="L90" s="353"/>
      <c r="M90" s="350" t="str">
        <f t="shared" si="0"/>
        <v/>
      </c>
      <c r="N90" s="351" t="str">
        <f t="shared" si="1"/>
        <v/>
      </c>
      <c r="O90" s="346"/>
      <c r="Q90" s="339"/>
      <c r="S90" s="958"/>
    </row>
    <row r="91" spans="1:19" x14ac:dyDescent="0.25">
      <c r="A91" s="339"/>
      <c r="C91" s="346"/>
      <c r="D91" s="1349"/>
      <c r="E91" s="1349"/>
      <c r="F91" s="346"/>
      <c r="G91" s="1349"/>
      <c r="H91" s="1349"/>
      <c r="I91" s="346"/>
      <c r="J91" s="352"/>
      <c r="K91" s="346"/>
      <c r="L91" s="353"/>
      <c r="M91" s="350" t="str">
        <f t="shared" si="0"/>
        <v/>
      </c>
      <c r="N91" s="351" t="str">
        <f t="shared" si="1"/>
        <v/>
      </c>
      <c r="O91" s="346"/>
      <c r="Q91" s="339"/>
      <c r="S91" s="958"/>
    </row>
    <row r="92" spans="1:19" x14ac:dyDescent="0.25">
      <c r="A92" s="339"/>
      <c r="C92" s="346"/>
      <c r="D92" s="1349"/>
      <c r="E92" s="1349"/>
      <c r="F92" s="346"/>
      <c r="G92" s="1349"/>
      <c r="H92" s="1349"/>
      <c r="I92" s="346"/>
      <c r="J92" s="352"/>
      <c r="K92" s="346"/>
      <c r="L92" s="353"/>
      <c r="M92" s="350" t="str">
        <f t="shared" si="0"/>
        <v/>
      </c>
      <c r="N92" s="351" t="str">
        <f t="shared" si="1"/>
        <v/>
      </c>
      <c r="O92" s="346"/>
      <c r="Q92" s="339"/>
      <c r="S92" s="958"/>
    </row>
    <row r="93" spans="1:19" x14ac:dyDescent="0.25">
      <c r="A93" s="339"/>
      <c r="C93" s="346"/>
      <c r="D93" s="1349"/>
      <c r="E93" s="1349"/>
      <c r="F93" s="346"/>
      <c r="G93" s="1349"/>
      <c r="H93" s="1349"/>
      <c r="I93" s="346"/>
      <c r="J93" s="352"/>
      <c r="K93" s="346"/>
      <c r="L93" s="353"/>
      <c r="M93" s="350" t="str">
        <f t="shared" si="0"/>
        <v/>
      </c>
      <c r="N93" s="351" t="str">
        <f t="shared" si="1"/>
        <v/>
      </c>
      <c r="O93" s="346"/>
      <c r="Q93" s="339"/>
      <c r="S93" s="958"/>
    </row>
    <row r="94" spans="1:19" x14ac:dyDescent="0.25">
      <c r="A94" s="339"/>
      <c r="C94" s="346"/>
      <c r="D94" s="1349"/>
      <c r="E94" s="1349"/>
      <c r="F94" s="346"/>
      <c r="G94" s="1349"/>
      <c r="H94" s="1349"/>
      <c r="I94" s="346"/>
      <c r="J94" s="352"/>
      <c r="K94" s="346"/>
      <c r="L94" s="353"/>
      <c r="M94" s="350" t="str">
        <f t="shared" si="0"/>
        <v/>
      </c>
      <c r="N94" s="351" t="str">
        <f t="shared" si="1"/>
        <v/>
      </c>
      <c r="O94" s="346"/>
      <c r="Q94" s="339"/>
      <c r="S94" s="958"/>
    </row>
    <row r="95" spans="1:19" x14ac:dyDescent="0.25">
      <c r="A95" s="339"/>
      <c r="C95" s="346"/>
      <c r="D95" s="1349"/>
      <c r="E95" s="1349"/>
      <c r="F95" s="346"/>
      <c r="G95" s="1349"/>
      <c r="H95" s="1349"/>
      <c r="I95" s="346"/>
      <c r="J95" s="352"/>
      <c r="K95" s="346"/>
      <c r="L95" s="353"/>
      <c r="M95" s="350" t="str">
        <f t="shared" si="0"/>
        <v/>
      </c>
      <c r="N95" s="351" t="str">
        <f t="shared" si="1"/>
        <v/>
      </c>
      <c r="O95" s="346"/>
      <c r="Q95" s="339"/>
      <c r="S95" s="958"/>
    </row>
    <row r="96" spans="1:19" x14ac:dyDescent="0.25">
      <c r="A96" s="339"/>
      <c r="C96" s="346"/>
      <c r="D96" s="1349"/>
      <c r="E96" s="1349"/>
      <c r="F96" s="346"/>
      <c r="G96" s="1349"/>
      <c r="H96" s="1349"/>
      <c r="I96" s="346"/>
      <c r="J96" s="352"/>
      <c r="K96" s="346"/>
      <c r="L96" s="353"/>
      <c r="M96" s="350" t="str">
        <f t="shared" si="0"/>
        <v/>
      </c>
      <c r="N96" s="351" t="str">
        <f t="shared" si="1"/>
        <v/>
      </c>
      <c r="O96" s="346"/>
      <c r="Q96" s="339"/>
      <c r="S96" s="958"/>
    </row>
    <row r="97" spans="1:19" x14ac:dyDescent="0.25">
      <c r="A97" s="339"/>
      <c r="C97" s="346"/>
      <c r="D97" s="1349"/>
      <c r="E97" s="1349"/>
      <c r="F97" s="346"/>
      <c r="G97" s="1349"/>
      <c r="H97" s="1349"/>
      <c r="I97" s="346"/>
      <c r="J97" s="352"/>
      <c r="K97" s="346"/>
      <c r="L97" s="353"/>
      <c r="M97" s="350" t="str">
        <f t="shared" si="0"/>
        <v/>
      </c>
      <c r="N97" s="351" t="str">
        <f t="shared" si="1"/>
        <v/>
      </c>
      <c r="O97" s="346"/>
      <c r="Q97" s="339"/>
      <c r="S97" s="958"/>
    </row>
    <row r="98" spans="1:19" x14ac:dyDescent="0.25">
      <c r="A98" s="339"/>
      <c r="C98" s="346"/>
      <c r="D98" s="1349"/>
      <c r="E98" s="1349"/>
      <c r="F98" s="346"/>
      <c r="G98" s="1349"/>
      <c r="H98" s="1349"/>
      <c r="I98" s="346"/>
      <c r="J98" s="352"/>
      <c r="K98" s="346"/>
      <c r="L98" s="353"/>
      <c r="M98" s="350" t="str">
        <f t="shared" si="0"/>
        <v/>
      </c>
      <c r="N98" s="351" t="str">
        <f t="shared" si="1"/>
        <v/>
      </c>
      <c r="O98" s="346"/>
      <c r="Q98" s="339"/>
      <c r="S98" s="958"/>
    </row>
    <row r="99" spans="1:19" x14ac:dyDescent="0.25">
      <c r="A99" s="339"/>
      <c r="C99" s="346"/>
      <c r="D99" s="1349"/>
      <c r="E99" s="1349"/>
      <c r="F99" s="346"/>
      <c r="G99" s="1349"/>
      <c r="H99" s="1349"/>
      <c r="I99" s="346"/>
      <c r="J99" s="352"/>
      <c r="K99" s="346"/>
      <c r="L99" s="353"/>
      <c r="M99" s="350" t="str">
        <f t="shared" si="0"/>
        <v/>
      </c>
      <c r="N99" s="351" t="str">
        <f t="shared" si="1"/>
        <v/>
      </c>
      <c r="O99" s="346"/>
      <c r="Q99" s="339"/>
      <c r="S99" s="958"/>
    </row>
    <row r="100" spans="1:19" x14ac:dyDescent="0.25">
      <c r="A100" s="339"/>
      <c r="C100" s="346"/>
      <c r="D100" s="1349"/>
      <c r="E100" s="1349"/>
      <c r="F100" s="346"/>
      <c r="G100" s="1349"/>
      <c r="H100" s="1349"/>
      <c r="I100" s="346"/>
      <c r="J100" s="352"/>
      <c r="K100" s="346"/>
      <c r="L100" s="353"/>
      <c r="M100" s="350" t="str">
        <f t="shared" si="0"/>
        <v/>
      </c>
      <c r="N100" s="351" t="str">
        <f t="shared" si="1"/>
        <v/>
      </c>
      <c r="O100" s="346"/>
      <c r="Q100" s="339"/>
      <c r="S100" s="958"/>
    </row>
    <row r="101" spans="1:19" x14ac:dyDescent="0.25">
      <c r="A101" s="339"/>
      <c r="C101" s="346"/>
      <c r="D101" s="1349"/>
      <c r="E101" s="1349"/>
      <c r="F101" s="346"/>
      <c r="G101" s="1349"/>
      <c r="H101" s="1349"/>
      <c r="I101" s="346"/>
      <c r="J101" s="352"/>
      <c r="K101" s="346"/>
      <c r="L101" s="353"/>
      <c r="M101" s="350" t="str">
        <f t="shared" si="0"/>
        <v/>
      </c>
      <c r="N101" s="351" t="str">
        <f t="shared" si="1"/>
        <v/>
      </c>
      <c r="O101" s="346"/>
      <c r="Q101" s="339"/>
      <c r="S101" s="958"/>
    </row>
    <row r="102" spans="1:19" x14ac:dyDescent="0.25">
      <c r="A102" s="339"/>
      <c r="C102" s="346"/>
      <c r="D102" s="1349"/>
      <c r="E102" s="1349"/>
      <c r="F102" s="346"/>
      <c r="G102" s="1349"/>
      <c r="H102" s="1349"/>
      <c r="I102" s="346"/>
      <c r="J102" s="352"/>
      <c r="K102" s="346"/>
      <c r="L102" s="353"/>
      <c r="M102" s="350" t="str">
        <f t="shared" si="0"/>
        <v/>
      </c>
      <c r="N102" s="351" t="str">
        <f t="shared" si="1"/>
        <v/>
      </c>
      <c r="O102" s="346"/>
      <c r="Q102" s="339"/>
      <c r="S102" s="958"/>
    </row>
    <row r="103" spans="1:19" x14ac:dyDescent="0.25">
      <c r="A103" s="339"/>
      <c r="C103" s="346"/>
      <c r="D103" s="1349"/>
      <c r="E103" s="1349"/>
      <c r="F103" s="346"/>
      <c r="G103" s="1349"/>
      <c r="H103" s="1349"/>
      <c r="I103" s="346"/>
      <c r="J103" s="352"/>
      <c r="K103" s="346"/>
      <c r="L103" s="353"/>
      <c r="M103" s="350" t="str">
        <f t="shared" si="0"/>
        <v/>
      </c>
      <c r="N103" s="351" t="str">
        <f t="shared" si="1"/>
        <v/>
      </c>
      <c r="O103" s="346"/>
      <c r="Q103" s="339"/>
      <c r="S103" s="958"/>
    </row>
    <row r="104" spans="1:19" x14ac:dyDescent="0.25">
      <c r="A104" s="339"/>
      <c r="C104" s="346"/>
      <c r="D104" s="1349"/>
      <c r="E104" s="1349"/>
      <c r="F104" s="346"/>
      <c r="G104" s="1349"/>
      <c r="H104" s="1349"/>
      <c r="I104" s="346"/>
      <c r="J104" s="352"/>
      <c r="K104" s="346"/>
      <c r="L104" s="353"/>
      <c r="M104" s="350" t="str">
        <f t="shared" si="0"/>
        <v/>
      </c>
      <c r="N104" s="351" t="str">
        <f t="shared" si="1"/>
        <v/>
      </c>
      <c r="O104" s="346"/>
      <c r="Q104" s="339"/>
      <c r="S104" s="958"/>
    </row>
    <row r="105" spans="1:19" x14ac:dyDescent="0.25">
      <c r="A105" s="339"/>
      <c r="C105" s="346"/>
      <c r="D105" s="1349"/>
      <c r="E105" s="1349"/>
      <c r="F105" s="346"/>
      <c r="G105" s="1349"/>
      <c r="H105" s="1349"/>
      <c r="I105" s="346"/>
      <c r="J105" s="352"/>
      <c r="K105" s="346"/>
      <c r="L105" s="353"/>
      <c r="M105" s="350" t="str">
        <f t="shared" si="0"/>
        <v/>
      </c>
      <c r="N105" s="351" t="str">
        <f t="shared" si="1"/>
        <v/>
      </c>
      <c r="O105" s="346"/>
      <c r="Q105" s="339"/>
      <c r="S105" s="958"/>
    </row>
    <row r="106" spans="1:19" x14ac:dyDescent="0.25">
      <c r="A106" s="339"/>
      <c r="C106" s="346"/>
      <c r="D106" s="1349"/>
      <c r="E106" s="1349"/>
      <c r="F106" s="346"/>
      <c r="G106" s="1349"/>
      <c r="H106" s="1349"/>
      <c r="I106" s="346"/>
      <c r="J106" s="352"/>
      <c r="K106" s="346"/>
      <c r="L106" s="353"/>
      <c r="M106" s="350" t="str">
        <f t="shared" si="0"/>
        <v/>
      </c>
      <c r="N106" s="351" t="str">
        <f t="shared" si="1"/>
        <v/>
      </c>
      <c r="O106" s="346"/>
      <c r="Q106" s="339"/>
      <c r="S106" s="958"/>
    </row>
    <row r="107" spans="1:19" x14ac:dyDescent="0.25">
      <c r="A107" s="339"/>
      <c r="C107" s="346"/>
      <c r="D107" s="1349"/>
      <c r="E107" s="1349"/>
      <c r="F107" s="346"/>
      <c r="G107" s="1349"/>
      <c r="H107" s="1349"/>
      <c r="I107" s="346"/>
      <c r="J107" s="352"/>
      <c r="K107" s="346"/>
      <c r="L107" s="353"/>
      <c r="M107" s="350" t="str">
        <f t="shared" si="0"/>
        <v/>
      </c>
      <c r="N107" s="351" t="str">
        <f t="shared" si="1"/>
        <v/>
      </c>
      <c r="O107" s="346"/>
      <c r="Q107" s="339"/>
      <c r="S107" s="958"/>
    </row>
    <row r="108" spans="1:19" x14ac:dyDescent="0.25">
      <c r="A108" s="339"/>
      <c r="C108" s="346"/>
      <c r="D108" s="1349"/>
      <c r="E108" s="1349"/>
      <c r="F108" s="346"/>
      <c r="G108" s="1349"/>
      <c r="H108" s="1349"/>
      <c r="I108" s="346"/>
      <c r="J108" s="352"/>
      <c r="K108" s="346"/>
      <c r="L108" s="353"/>
      <c r="M108" s="350" t="str">
        <f t="shared" si="0"/>
        <v/>
      </c>
      <c r="N108" s="351" t="str">
        <f t="shared" si="1"/>
        <v/>
      </c>
      <c r="O108" s="346"/>
      <c r="Q108" s="339"/>
      <c r="S108" s="958"/>
    </row>
    <row r="109" spans="1:19" x14ac:dyDescent="0.25">
      <c r="A109" s="339"/>
      <c r="C109" s="346"/>
      <c r="D109" s="1349"/>
      <c r="E109" s="1349"/>
      <c r="F109" s="346"/>
      <c r="G109" s="1349"/>
      <c r="H109" s="1349"/>
      <c r="I109" s="346"/>
      <c r="J109" s="352"/>
      <c r="K109" s="346"/>
      <c r="L109" s="353"/>
      <c r="M109" s="350" t="str">
        <f t="shared" si="0"/>
        <v/>
      </c>
      <c r="N109" s="351" t="str">
        <f t="shared" si="1"/>
        <v/>
      </c>
      <c r="O109" s="346"/>
      <c r="Q109" s="339"/>
      <c r="S109" s="958"/>
    </row>
    <row r="110" spans="1:19" x14ac:dyDescent="0.25">
      <c r="A110" s="339"/>
      <c r="C110" s="346"/>
      <c r="D110" s="1349"/>
      <c r="E110" s="1349"/>
      <c r="F110" s="346"/>
      <c r="G110" s="1349"/>
      <c r="H110" s="1349"/>
      <c r="I110" s="346"/>
      <c r="J110" s="352"/>
      <c r="K110" s="346"/>
      <c r="L110" s="353"/>
      <c r="M110" s="350" t="str">
        <f t="shared" si="0"/>
        <v/>
      </c>
      <c r="N110" s="351" t="str">
        <f t="shared" si="1"/>
        <v/>
      </c>
      <c r="O110" s="346"/>
      <c r="Q110" s="339"/>
      <c r="S110" s="958"/>
    </row>
    <row r="111" spans="1:19" x14ac:dyDescent="0.25">
      <c r="A111" s="339"/>
      <c r="C111" s="346"/>
      <c r="D111" s="1349"/>
      <c r="E111" s="1349"/>
      <c r="F111" s="346"/>
      <c r="G111" s="1349"/>
      <c r="H111" s="1349"/>
      <c r="I111" s="346"/>
      <c r="J111" s="352"/>
      <c r="K111" s="346"/>
      <c r="L111" s="353"/>
      <c r="M111" s="350" t="str">
        <f t="shared" si="0"/>
        <v/>
      </c>
      <c r="N111" s="351" t="str">
        <f t="shared" si="1"/>
        <v/>
      </c>
      <c r="O111" s="346"/>
      <c r="Q111" s="339"/>
      <c r="S111" s="958"/>
    </row>
    <row r="112" spans="1:19" x14ac:dyDescent="0.25">
      <c r="A112" s="339"/>
      <c r="C112" s="346"/>
      <c r="D112" s="1349"/>
      <c r="E112" s="1349"/>
      <c r="F112" s="346"/>
      <c r="G112" s="1349"/>
      <c r="H112" s="1349"/>
      <c r="I112" s="346"/>
      <c r="J112" s="352"/>
      <c r="K112" s="346"/>
      <c r="L112" s="353"/>
      <c r="M112" s="350" t="str">
        <f t="shared" si="0"/>
        <v/>
      </c>
      <c r="N112" s="351" t="str">
        <f t="shared" si="1"/>
        <v/>
      </c>
      <c r="O112" s="346"/>
      <c r="Q112" s="339"/>
      <c r="S112" s="958"/>
    </row>
    <row r="113" spans="1:19" x14ac:dyDescent="0.25">
      <c r="A113" s="339"/>
      <c r="C113" s="346"/>
      <c r="D113" s="1349"/>
      <c r="E113" s="1349"/>
      <c r="F113" s="346"/>
      <c r="G113" s="1349"/>
      <c r="H113" s="1349"/>
      <c r="I113" s="346"/>
      <c r="J113" s="352"/>
      <c r="K113" s="346"/>
      <c r="L113" s="353"/>
      <c r="M113" s="350" t="str">
        <f t="shared" si="0"/>
        <v/>
      </c>
      <c r="N113" s="351" t="str">
        <f t="shared" si="1"/>
        <v/>
      </c>
      <c r="O113" s="346"/>
      <c r="Q113" s="339"/>
      <c r="S113" s="958"/>
    </row>
    <row r="114" spans="1:19" x14ac:dyDescent="0.25">
      <c r="A114" s="339"/>
      <c r="C114" s="346"/>
      <c r="D114" s="1349"/>
      <c r="E114" s="1349"/>
      <c r="F114" s="346"/>
      <c r="G114" s="1349"/>
      <c r="H114" s="1349"/>
      <c r="I114" s="346"/>
      <c r="J114" s="352"/>
      <c r="K114" s="346"/>
      <c r="L114" s="353"/>
      <c r="M114" s="350" t="str">
        <f t="shared" si="0"/>
        <v/>
      </c>
      <c r="N114" s="351" t="str">
        <f t="shared" si="1"/>
        <v/>
      </c>
      <c r="O114" s="346"/>
      <c r="Q114" s="339"/>
      <c r="S114" s="958"/>
    </row>
    <row r="115" spans="1:19" x14ac:dyDescent="0.25">
      <c r="A115" s="339"/>
      <c r="C115" s="346"/>
      <c r="D115" s="1349"/>
      <c r="E115" s="1349"/>
      <c r="F115" s="346"/>
      <c r="G115" s="1349"/>
      <c r="H115" s="1349"/>
      <c r="I115" s="346"/>
      <c r="J115" s="352"/>
      <c r="K115" s="346"/>
      <c r="L115" s="353"/>
      <c r="M115" s="350" t="str">
        <f t="shared" si="0"/>
        <v/>
      </c>
      <c r="N115" s="351" t="str">
        <f t="shared" si="1"/>
        <v/>
      </c>
      <c r="O115" s="346"/>
      <c r="Q115" s="339"/>
      <c r="S115" s="958"/>
    </row>
    <row r="116" spans="1:19" x14ac:dyDescent="0.25">
      <c r="A116" s="339"/>
      <c r="C116" s="346"/>
      <c r="D116" s="1349"/>
      <c r="E116" s="1349"/>
      <c r="F116" s="346"/>
      <c r="G116" s="1349"/>
      <c r="H116" s="1349"/>
      <c r="I116" s="346"/>
      <c r="J116" s="352"/>
      <c r="K116" s="346"/>
      <c r="L116" s="353"/>
      <c r="M116" s="350" t="str">
        <f t="shared" si="0"/>
        <v/>
      </c>
      <c r="N116" s="351" t="str">
        <f t="shared" si="1"/>
        <v/>
      </c>
      <c r="O116" s="346"/>
      <c r="Q116" s="339"/>
      <c r="S116" s="958"/>
    </row>
    <row r="117" spans="1:19" x14ac:dyDescent="0.25">
      <c r="A117" s="339"/>
      <c r="C117" s="346"/>
      <c r="D117" s="1349"/>
      <c r="E117" s="1349"/>
      <c r="F117" s="346"/>
      <c r="G117" s="1349"/>
      <c r="H117" s="1349"/>
      <c r="I117" s="346"/>
      <c r="J117" s="352"/>
      <c r="K117" s="346"/>
      <c r="L117" s="353"/>
      <c r="M117" s="350" t="str">
        <f t="shared" si="0"/>
        <v/>
      </c>
      <c r="N117" s="351" t="str">
        <f t="shared" si="1"/>
        <v/>
      </c>
      <c r="O117" s="346"/>
      <c r="Q117" s="339"/>
      <c r="S117" s="958"/>
    </row>
    <row r="118" spans="1:19" x14ac:dyDescent="0.25">
      <c r="A118" s="339"/>
      <c r="C118" s="346"/>
      <c r="D118" s="1349"/>
      <c r="E118" s="1349"/>
      <c r="F118" s="346"/>
      <c r="G118" s="1349"/>
      <c r="H118" s="1349"/>
      <c r="I118" s="346"/>
      <c r="J118" s="352"/>
      <c r="K118" s="346"/>
      <c r="L118" s="353"/>
      <c r="M118" s="350" t="str">
        <f t="shared" si="0"/>
        <v/>
      </c>
      <c r="N118" s="351" t="str">
        <f t="shared" si="1"/>
        <v/>
      </c>
      <c r="O118" s="346"/>
      <c r="Q118" s="339"/>
      <c r="S118" s="958"/>
    </row>
    <row r="119" spans="1:19" x14ac:dyDescent="0.25">
      <c r="A119" s="339"/>
      <c r="C119" s="346"/>
      <c r="D119" s="1349"/>
      <c r="E119" s="1349"/>
      <c r="F119" s="346"/>
      <c r="G119" s="1349"/>
      <c r="H119" s="1349"/>
      <c r="I119" s="346"/>
      <c r="J119" s="352"/>
      <c r="K119" s="346"/>
      <c r="L119" s="353"/>
      <c r="M119" s="350" t="str">
        <f t="shared" si="0"/>
        <v/>
      </c>
      <c r="N119" s="351" t="str">
        <f t="shared" si="1"/>
        <v/>
      </c>
      <c r="O119" s="346"/>
      <c r="Q119" s="339"/>
      <c r="S119" s="958"/>
    </row>
    <row r="120" spans="1:19" x14ac:dyDescent="0.25">
      <c r="A120" s="339"/>
      <c r="C120" s="346"/>
      <c r="D120" s="1349"/>
      <c r="E120" s="1349"/>
      <c r="F120" s="346"/>
      <c r="G120" s="1349"/>
      <c r="H120" s="1349"/>
      <c r="I120" s="346"/>
      <c r="J120" s="352"/>
      <c r="K120" s="346"/>
      <c r="L120" s="353"/>
      <c r="M120" s="350" t="str">
        <f t="shared" si="0"/>
        <v/>
      </c>
      <c r="N120" s="351" t="str">
        <f t="shared" si="1"/>
        <v/>
      </c>
      <c r="O120" s="346"/>
      <c r="Q120" s="339"/>
      <c r="S120" s="958"/>
    </row>
    <row r="121" spans="1:19" x14ac:dyDescent="0.25">
      <c r="A121" s="339"/>
      <c r="C121" s="346"/>
      <c r="D121" s="1349"/>
      <c r="E121" s="1349"/>
      <c r="F121" s="346"/>
      <c r="G121" s="1349"/>
      <c r="H121" s="1349"/>
      <c r="I121" s="346"/>
      <c r="J121" s="352"/>
      <c r="K121" s="346"/>
      <c r="L121" s="353"/>
      <c r="M121" s="350" t="str">
        <f t="shared" si="0"/>
        <v/>
      </c>
      <c r="N121" s="351" t="str">
        <f t="shared" si="1"/>
        <v/>
      </c>
      <c r="O121" s="346"/>
      <c r="Q121" s="339"/>
      <c r="S121" s="958"/>
    </row>
    <row r="122" spans="1:19" x14ac:dyDescent="0.25">
      <c r="A122" s="339"/>
      <c r="C122" s="346"/>
      <c r="D122" s="1349"/>
      <c r="E122" s="1349"/>
      <c r="F122" s="346"/>
      <c r="G122" s="1349"/>
      <c r="H122" s="1349"/>
      <c r="I122" s="346"/>
      <c r="J122" s="352"/>
      <c r="K122" s="346"/>
      <c r="L122" s="353"/>
      <c r="M122" s="350" t="str">
        <f t="shared" si="0"/>
        <v/>
      </c>
      <c r="N122" s="351" t="str">
        <f t="shared" si="1"/>
        <v/>
      </c>
      <c r="O122" s="346"/>
      <c r="Q122" s="339"/>
      <c r="S122" s="958"/>
    </row>
    <row r="123" spans="1:19" x14ac:dyDescent="0.25">
      <c r="A123" s="339"/>
      <c r="C123" s="346"/>
      <c r="D123" s="1349"/>
      <c r="E123" s="1349"/>
      <c r="F123" s="346"/>
      <c r="G123" s="1349"/>
      <c r="H123" s="1349"/>
      <c r="I123" s="346"/>
      <c r="J123" s="352"/>
      <c r="K123" s="346"/>
      <c r="L123" s="353"/>
      <c r="M123" s="350" t="str">
        <f t="shared" si="0"/>
        <v/>
      </c>
      <c r="N123" s="351" t="str">
        <f t="shared" si="1"/>
        <v/>
      </c>
      <c r="O123" s="346"/>
      <c r="Q123" s="339"/>
      <c r="S123" s="958"/>
    </row>
    <row r="124" spans="1:19" x14ac:dyDescent="0.25">
      <c r="A124" s="339"/>
      <c r="C124" s="346"/>
      <c r="D124" s="1349"/>
      <c r="E124" s="1349"/>
      <c r="F124" s="346"/>
      <c r="G124" s="1349"/>
      <c r="H124" s="1349"/>
      <c r="I124" s="346"/>
      <c r="J124" s="352"/>
      <c r="K124" s="346"/>
      <c r="L124" s="353"/>
      <c r="M124" s="350" t="str">
        <f t="shared" si="0"/>
        <v/>
      </c>
      <c r="N124" s="351" t="str">
        <f t="shared" si="1"/>
        <v/>
      </c>
      <c r="O124" s="346"/>
      <c r="Q124" s="339"/>
      <c r="S124" s="958"/>
    </row>
    <row r="125" spans="1:19" x14ac:dyDescent="0.25">
      <c r="A125" s="339"/>
      <c r="C125" s="346"/>
      <c r="D125" s="1349"/>
      <c r="E125" s="1349"/>
      <c r="F125" s="346"/>
      <c r="G125" s="1349"/>
      <c r="H125" s="1349"/>
      <c r="I125" s="346"/>
      <c r="J125" s="352"/>
      <c r="K125" s="346"/>
      <c r="L125" s="353"/>
      <c r="M125" s="350" t="str">
        <f t="shared" si="0"/>
        <v/>
      </c>
      <c r="N125" s="351" t="str">
        <f t="shared" si="1"/>
        <v/>
      </c>
      <c r="O125" s="346"/>
      <c r="Q125" s="339"/>
      <c r="S125" s="958"/>
    </row>
    <row r="126" spans="1:19" x14ac:dyDescent="0.25">
      <c r="A126" s="339"/>
      <c r="C126" s="346"/>
      <c r="D126" s="1349"/>
      <c r="E126" s="1349"/>
      <c r="F126" s="346"/>
      <c r="G126" s="1349"/>
      <c r="H126" s="1349"/>
      <c r="I126" s="346"/>
      <c r="J126" s="352"/>
      <c r="K126" s="346"/>
      <c r="L126" s="353"/>
      <c r="M126" s="350" t="str">
        <f t="shared" si="0"/>
        <v/>
      </c>
      <c r="N126" s="351" t="str">
        <f t="shared" si="1"/>
        <v/>
      </c>
      <c r="O126" s="346"/>
      <c r="Q126" s="339"/>
      <c r="S126" s="958"/>
    </row>
    <row r="127" spans="1:19" x14ac:dyDescent="0.25">
      <c r="A127" s="339"/>
      <c r="C127" s="346"/>
      <c r="D127" s="1349"/>
      <c r="E127" s="1349"/>
      <c r="F127" s="346"/>
      <c r="G127" s="1349"/>
      <c r="H127" s="1349"/>
      <c r="I127" s="346"/>
      <c r="J127" s="352"/>
      <c r="K127" s="346"/>
      <c r="L127" s="353"/>
      <c r="M127" s="350" t="str">
        <f t="shared" si="0"/>
        <v/>
      </c>
      <c r="N127" s="351" t="str">
        <f t="shared" si="1"/>
        <v/>
      </c>
      <c r="O127" s="346"/>
      <c r="Q127" s="339"/>
      <c r="S127" s="958"/>
    </row>
    <row r="128" spans="1:19" x14ac:dyDescent="0.25">
      <c r="A128" s="339"/>
      <c r="C128" s="346"/>
      <c r="D128" s="1349"/>
      <c r="E128" s="1349"/>
      <c r="F128" s="346"/>
      <c r="G128" s="1349"/>
      <c r="H128" s="1349"/>
      <c r="I128" s="346"/>
      <c r="J128" s="352"/>
      <c r="K128" s="346"/>
      <c r="L128" s="353"/>
      <c r="M128" s="350" t="str">
        <f t="shared" si="0"/>
        <v/>
      </c>
      <c r="N128" s="351" t="str">
        <f t="shared" si="1"/>
        <v/>
      </c>
      <c r="O128" s="346"/>
      <c r="Q128" s="339"/>
      <c r="S128" s="958"/>
    </row>
    <row r="129" spans="1:19" x14ac:dyDescent="0.25">
      <c r="A129" s="339"/>
      <c r="C129" s="346"/>
      <c r="D129" s="1349"/>
      <c r="E129" s="1349"/>
      <c r="F129" s="346"/>
      <c r="G129" s="1349"/>
      <c r="H129" s="1349"/>
      <c r="I129" s="346"/>
      <c r="J129" s="352"/>
      <c r="K129" s="346"/>
      <c r="L129" s="353"/>
      <c r="M129" s="350" t="str">
        <f t="shared" si="0"/>
        <v/>
      </c>
      <c r="N129" s="351" t="str">
        <f t="shared" si="1"/>
        <v/>
      </c>
      <c r="O129" s="346"/>
      <c r="Q129" s="339"/>
      <c r="S129" s="958"/>
    </row>
    <row r="130" spans="1:19" x14ac:dyDescent="0.25">
      <c r="A130" s="339"/>
      <c r="C130" s="346"/>
      <c r="D130" s="1349"/>
      <c r="E130" s="1349"/>
      <c r="F130" s="346"/>
      <c r="G130" s="1349"/>
      <c r="H130" s="1349"/>
      <c r="I130" s="346"/>
      <c r="J130" s="352"/>
      <c r="K130" s="346"/>
      <c r="L130" s="353"/>
      <c r="M130" s="350" t="str">
        <f t="shared" si="0"/>
        <v/>
      </c>
      <c r="N130" s="351" t="str">
        <f t="shared" si="1"/>
        <v/>
      </c>
      <c r="O130" s="346"/>
      <c r="Q130" s="339"/>
      <c r="S130" s="958"/>
    </row>
    <row r="131" spans="1:19" x14ac:dyDescent="0.25">
      <c r="A131" s="339"/>
      <c r="C131" s="346"/>
      <c r="D131" s="1349"/>
      <c r="E131" s="1349"/>
      <c r="F131" s="346"/>
      <c r="G131" s="1349"/>
      <c r="H131" s="1349"/>
      <c r="I131" s="346"/>
      <c r="J131" s="352"/>
      <c r="K131" s="346"/>
      <c r="L131" s="353"/>
      <c r="M131" s="350" t="str">
        <f t="shared" si="0"/>
        <v/>
      </c>
      <c r="N131" s="351" t="str">
        <f t="shared" si="1"/>
        <v/>
      </c>
      <c r="O131" s="346"/>
      <c r="Q131" s="339"/>
      <c r="S131" s="958"/>
    </row>
    <row r="132" spans="1:19" x14ac:dyDescent="0.25">
      <c r="A132" s="339"/>
      <c r="C132" s="346"/>
      <c r="D132" s="1349"/>
      <c r="E132" s="1349"/>
      <c r="F132" s="346"/>
      <c r="G132" s="1349"/>
      <c r="H132" s="1349"/>
      <c r="I132" s="346"/>
      <c r="J132" s="352"/>
      <c r="K132" s="346"/>
      <c r="L132" s="353"/>
      <c r="M132" s="350" t="str">
        <f t="shared" si="0"/>
        <v/>
      </c>
      <c r="N132" s="351" t="str">
        <f t="shared" si="1"/>
        <v/>
      </c>
      <c r="O132" s="346"/>
      <c r="Q132" s="339"/>
      <c r="S132" s="958"/>
    </row>
    <row r="133" spans="1:19" x14ac:dyDescent="0.25">
      <c r="A133" s="339"/>
      <c r="C133" s="346"/>
      <c r="D133" s="1349"/>
      <c r="E133" s="1349"/>
      <c r="F133" s="346"/>
      <c r="G133" s="1349"/>
      <c r="H133" s="1349"/>
      <c r="I133" s="346"/>
      <c r="J133" s="352"/>
      <c r="K133" s="346"/>
      <c r="L133" s="353"/>
      <c r="M133" s="350" t="str">
        <f t="shared" si="0"/>
        <v/>
      </c>
      <c r="N133" s="351" t="str">
        <f t="shared" si="1"/>
        <v/>
      </c>
      <c r="O133" s="346"/>
      <c r="Q133" s="339"/>
      <c r="S133" s="958"/>
    </row>
    <row r="134" spans="1:19" x14ac:dyDescent="0.25">
      <c r="A134" s="339"/>
      <c r="C134" s="346"/>
      <c r="D134" s="1349"/>
      <c r="E134" s="1349"/>
      <c r="F134" s="346"/>
      <c r="G134" s="1349"/>
      <c r="H134" s="1349"/>
      <c r="I134" s="346"/>
      <c r="J134" s="352"/>
      <c r="K134" s="346"/>
      <c r="L134" s="353"/>
      <c r="M134" s="350" t="str">
        <f t="shared" ref="M134:M197" si="2">IF(K134="","", INDEX(CNTR_EFListSelected,MATCH(K134,CORSIA_FuelsList,0)))</f>
        <v/>
      </c>
      <c r="N134" s="351" t="str">
        <f t="shared" si="1"/>
        <v/>
      </c>
      <c r="O134" s="346"/>
      <c r="Q134" s="339"/>
      <c r="S134" s="958"/>
    </row>
    <row r="135" spans="1:19" x14ac:dyDescent="0.25">
      <c r="A135" s="339"/>
      <c r="C135" s="346"/>
      <c r="D135" s="1349"/>
      <c r="E135" s="1349"/>
      <c r="F135" s="346"/>
      <c r="G135" s="1349"/>
      <c r="H135" s="1349"/>
      <c r="I135" s="346"/>
      <c r="J135" s="352"/>
      <c r="K135" s="346"/>
      <c r="L135" s="353"/>
      <c r="M135" s="350" t="str">
        <f t="shared" si="2"/>
        <v/>
      </c>
      <c r="N135" s="351" t="str">
        <f t="shared" ref="N135:N198" si="3">IF(COUNT(L135:M135)=2,L135*M135,"")</f>
        <v/>
      </c>
      <c r="O135" s="346"/>
      <c r="Q135" s="339"/>
      <c r="S135" s="958"/>
    </row>
    <row r="136" spans="1:19" x14ac:dyDescent="0.25">
      <c r="A136" s="339"/>
      <c r="C136" s="346"/>
      <c r="D136" s="1349"/>
      <c r="E136" s="1349"/>
      <c r="F136" s="346"/>
      <c r="G136" s="1349"/>
      <c r="H136" s="1349"/>
      <c r="I136" s="346"/>
      <c r="J136" s="352"/>
      <c r="K136" s="346"/>
      <c r="L136" s="353"/>
      <c r="M136" s="350" t="str">
        <f t="shared" si="2"/>
        <v/>
      </c>
      <c r="N136" s="351" t="str">
        <f t="shared" si="3"/>
        <v/>
      </c>
      <c r="O136" s="346"/>
      <c r="Q136" s="339"/>
      <c r="S136" s="958"/>
    </row>
    <row r="137" spans="1:19" x14ac:dyDescent="0.25">
      <c r="A137" s="339"/>
      <c r="C137" s="346"/>
      <c r="D137" s="1349"/>
      <c r="E137" s="1349"/>
      <c r="F137" s="346"/>
      <c r="G137" s="1349"/>
      <c r="H137" s="1349"/>
      <c r="I137" s="346"/>
      <c r="J137" s="352"/>
      <c r="K137" s="346"/>
      <c r="L137" s="353"/>
      <c r="M137" s="350" t="str">
        <f t="shared" si="2"/>
        <v/>
      </c>
      <c r="N137" s="351" t="str">
        <f t="shared" si="3"/>
        <v/>
      </c>
      <c r="O137" s="346"/>
      <c r="Q137" s="339"/>
      <c r="S137" s="958"/>
    </row>
    <row r="138" spans="1:19" x14ac:dyDescent="0.25">
      <c r="A138" s="339"/>
      <c r="C138" s="346"/>
      <c r="D138" s="1349"/>
      <c r="E138" s="1349"/>
      <c r="F138" s="346"/>
      <c r="G138" s="1349"/>
      <c r="H138" s="1349"/>
      <c r="I138" s="346"/>
      <c r="J138" s="352"/>
      <c r="K138" s="346"/>
      <c r="L138" s="353"/>
      <c r="M138" s="350" t="str">
        <f t="shared" si="2"/>
        <v/>
      </c>
      <c r="N138" s="351" t="str">
        <f t="shared" si="3"/>
        <v/>
      </c>
      <c r="O138" s="346"/>
      <c r="Q138" s="339"/>
      <c r="S138" s="958"/>
    </row>
    <row r="139" spans="1:19" x14ac:dyDescent="0.25">
      <c r="A139" s="339"/>
      <c r="C139" s="346"/>
      <c r="D139" s="1349"/>
      <c r="E139" s="1349"/>
      <c r="F139" s="346"/>
      <c r="G139" s="1349"/>
      <c r="H139" s="1349"/>
      <c r="I139" s="346"/>
      <c r="J139" s="352"/>
      <c r="K139" s="346"/>
      <c r="L139" s="353"/>
      <c r="M139" s="350" t="str">
        <f t="shared" si="2"/>
        <v/>
      </c>
      <c r="N139" s="351" t="str">
        <f t="shared" si="3"/>
        <v/>
      </c>
      <c r="O139" s="346"/>
      <c r="Q139" s="339"/>
      <c r="S139" s="958"/>
    </row>
    <row r="140" spans="1:19" x14ac:dyDescent="0.25">
      <c r="A140" s="339"/>
      <c r="C140" s="346"/>
      <c r="D140" s="1349"/>
      <c r="E140" s="1349"/>
      <c r="F140" s="346"/>
      <c r="G140" s="1349"/>
      <c r="H140" s="1349"/>
      <c r="I140" s="346"/>
      <c r="J140" s="352"/>
      <c r="K140" s="346"/>
      <c r="L140" s="353"/>
      <c r="M140" s="350" t="str">
        <f t="shared" si="2"/>
        <v/>
      </c>
      <c r="N140" s="351" t="str">
        <f t="shared" si="3"/>
        <v/>
      </c>
      <c r="O140" s="346"/>
      <c r="Q140" s="339"/>
      <c r="S140" s="958"/>
    </row>
    <row r="141" spans="1:19" x14ac:dyDescent="0.25">
      <c r="A141" s="339"/>
      <c r="C141" s="346"/>
      <c r="D141" s="1349"/>
      <c r="E141" s="1349"/>
      <c r="F141" s="346"/>
      <c r="G141" s="1349"/>
      <c r="H141" s="1349"/>
      <c r="I141" s="346"/>
      <c r="J141" s="352"/>
      <c r="K141" s="346"/>
      <c r="L141" s="353"/>
      <c r="M141" s="350" t="str">
        <f t="shared" si="2"/>
        <v/>
      </c>
      <c r="N141" s="351" t="str">
        <f t="shared" si="3"/>
        <v/>
      </c>
      <c r="O141" s="346"/>
      <c r="Q141" s="339"/>
      <c r="S141" s="958"/>
    </row>
    <row r="142" spans="1:19" x14ac:dyDescent="0.25">
      <c r="A142" s="339"/>
      <c r="C142" s="346"/>
      <c r="D142" s="1349"/>
      <c r="E142" s="1349"/>
      <c r="F142" s="346"/>
      <c r="G142" s="1349"/>
      <c r="H142" s="1349"/>
      <c r="I142" s="346"/>
      <c r="J142" s="352"/>
      <c r="K142" s="346"/>
      <c r="L142" s="353"/>
      <c r="M142" s="350" t="str">
        <f t="shared" si="2"/>
        <v/>
      </c>
      <c r="N142" s="351" t="str">
        <f t="shared" si="3"/>
        <v/>
      </c>
      <c r="O142" s="346"/>
      <c r="Q142" s="339"/>
      <c r="S142" s="958"/>
    </row>
    <row r="143" spans="1:19" x14ac:dyDescent="0.25">
      <c r="A143" s="339"/>
      <c r="C143" s="346"/>
      <c r="D143" s="1349"/>
      <c r="E143" s="1349"/>
      <c r="F143" s="346"/>
      <c r="G143" s="1349"/>
      <c r="H143" s="1349"/>
      <c r="I143" s="346"/>
      <c r="J143" s="352"/>
      <c r="K143" s="346"/>
      <c r="L143" s="353"/>
      <c r="M143" s="350" t="str">
        <f t="shared" si="2"/>
        <v/>
      </c>
      <c r="N143" s="351" t="str">
        <f t="shared" si="3"/>
        <v/>
      </c>
      <c r="O143" s="346"/>
      <c r="Q143" s="339"/>
      <c r="S143" s="958"/>
    </row>
    <row r="144" spans="1:19" x14ac:dyDescent="0.25">
      <c r="A144" s="339"/>
      <c r="C144" s="346"/>
      <c r="D144" s="1349"/>
      <c r="E144" s="1349"/>
      <c r="F144" s="346"/>
      <c r="G144" s="1349"/>
      <c r="H144" s="1349"/>
      <c r="I144" s="346"/>
      <c r="J144" s="352"/>
      <c r="K144" s="346"/>
      <c r="L144" s="353"/>
      <c r="M144" s="350" t="str">
        <f t="shared" si="2"/>
        <v/>
      </c>
      <c r="N144" s="351" t="str">
        <f t="shared" si="3"/>
        <v/>
      </c>
      <c r="O144" s="346"/>
      <c r="Q144" s="339"/>
      <c r="S144" s="958"/>
    </row>
    <row r="145" spans="1:19" x14ac:dyDescent="0.25">
      <c r="A145" s="339"/>
      <c r="C145" s="346"/>
      <c r="D145" s="1349"/>
      <c r="E145" s="1349"/>
      <c r="F145" s="346"/>
      <c r="G145" s="1349"/>
      <c r="H145" s="1349"/>
      <c r="I145" s="346"/>
      <c r="J145" s="352"/>
      <c r="K145" s="346"/>
      <c r="L145" s="353"/>
      <c r="M145" s="350" t="str">
        <f t="shared" si="2"/>
        <v/>
      </c>
      <c r="N145" s="351" t="str">
        <f t="shared" si="3"/>
        <v/>
      </c>
      <c r="O145" s="346"/>
      <c r="Q145" s="339"/>
      <c r="S145" s="958"/>
    </row>
    <row r="146" spans="1:19" x14ac:dyDescent="0.25">
      <c r="A146" s="339"/>
      <c r="C146" s="346"/>
      <c r="D146" s="1349"/>
      <c r="E146" s="1349"/>
      <c r="F146" s="346"/>
      <c r="G146" s="1349"/>
      <c r="H146" s="1349"/>
      <c r="I146" s="346"/>
      <c r="J146" s="352"/>
      <c r="K146" s="346"/>
      <c r="L146" s="353"/>
      <c r="M146" s="350" t="str">
        <f t="shared" si="2"/>
        <v/>
      </c>
      <c r="N146" s="351" t="str">
        <f t="shared" si="3"/>
        <v/>
      </c>
      <c r="O146" s="346"/>
      <c r="Q146" s="339"/>
      <c r="S146" s="958"/>
    </row>
    <row r="147" spans="1:19" x14ac:dyDescent="0.25">
      <c r="A147" s="339"/>
      <c r="C147" s="346"/>
      <c r="D147" s="1349"/>
      <c r="E147" s="1349"/>
      <c r="F147" s="346"/>
      <c r="G147" s="1349"/>
      <c r="H147" s="1349"/>
      <c r="I147" s="346"/>
      <c r="J147" s="352"/>
      <c r="K147" s="346"/>
      <c r="L147" s="353"/>
      <c r="M147" s="350" t="str">
        <f t="shared" si="2"/>
        <v/>
      </c>
      <c r="N147" s="351" t="str">
        <f t="shared" si="3"/>
        <v/>
      </c>
      <c r="O147" s="346"/>
      <c r="Q147" s="339"/>
      <c r="S147" s="958"/>
    </row>
    <row r="148" spans="1:19" x14ac:dyDescent="0.25">
      <c r="A148" s="339"/>
      <c r="C148" s="346"/>
      <c r="D148" s="1349"/>
      <c r="E148" s="1349"/>
      <c r="F148" s="346"/>
      <c r="G148" s="1349"/>
      <c r="H148" s="1349"/>
      <c r="I148" s="346"/>
      <c r="J148" s="352"/>
      <c r="K148" s="346"/>
      <c r="L148" s="353"/>
      <c r="M148" s="350" t="str">
        <f t="shared" si="2"/>
        <v/>
      </c>
      <c r="N148" s="351" t="str">
        <f t="shared" si="3"/>
        <v/>
      </c>
      <c r="O148" s="346"/>
      <c r="Q148" s="339"/>
      <c r="S148" s="958"/>
    </row>
    <row r="149" spans="1:19" x14ac:dyDescent="0.25">
      <c r="A149" s="339"/>
      <c r="C149" s="346"/>
      <c r="D149" s="1349"/>
      <c r="E149" s="1349"/>
      <c r="F149" s="346"/>
      <c r="G149" s="1349"/>
      <c r="H149" s="1349"/>
      <c r="I149" s="346"/>
      <c r="J149" s="352"/>
      <c r="K149" s="346"/>
      <c r="L149" s="353"/>
      <c r="M149" s="350" t="str">
        <f t="shared" si="2"/>
        <v/>
      </c>
      <c r="N149" s="351" t="str">
        <f t="shared" si="3"/>
        <v/>
      </c>
      <c r="O149" s="346"/>
      <c r="Q149" s="339"/>
      <c r="S149" s="958"/>
    </row>
    <row r="150" spans="1:19" x14ac:dyDescent="0.25">
      <c r="A150" s="339"/>
      <c r="C150" s="346"/>
      <c r="D150" s="1349"/>
      <c r="E150" s="1349"/>
      <c r="F150" s="346"/>
      <c r="G150" s="1349"/>
      <c r="H150" s="1349"/>
      <c r="I150" s="346"/>
      <c r="J150" s="352"/>
      <c r="K150" s="346"/>
      <c r="L150" s="353"/>
      <c r="M150" s="350" t="str">
        <f t="shared" si="2"/>
        <v/>
      </c>
      <c r="N150" s="351" t="str">
        <f t="shared" si="3"/>
        <v/>
      </c>
      <c r="O150" s="346"/>
      <c r="Q150" s="339"/>
      <c r="S150" s="958"/>
    </row>
    <row r="151" spans="1:19" x14ac:dyDescent="0.25">
      <c r="A151" s="339"/>
      <c r="C151" s="346"/>
      <c r="D151" s="1349"/>
      <c r="E151" s="1349"/>
      <c r="F151" s="346"/>
      <c r="G151" s="1349"/>
      <c r="H151" s="1349"/>
      <c r="I151" s="346"/>
      <c r="J151" s="352"/>
      <c r="K151" s="346"/>
      <c r="L151" s="353"/>
      <c r="M151" s="350" t="str">
        <f t="shared" si="2"/>
        <v/>
      </c>
      <c r="N151" s="351" t="str">
        <f t="shared" si="3"/>
        <v/>
      </c>
      <c r="O151" s="346"/>
      <c r="Q151" s="339"/>
      <c r="S151" s="958"/>
    </row>
    <row r="152" spans="1:19" x14ac:dyDescent="0.25">
      <c r="A152" s="339"/>
      <c r="C152" s="346"/>
      <c r="D152" s="1349"/>
      <c r="E152" s="1349"/>
      <c r="F152" s="346"/>
      <c r="G152" s="1349"/>
      <c r="H152" s="1349"/>
      <c r="I152" s="346"/>
      <c r="J152" s="352"/>
      <c r="K152" s="346"/>
      <c r="L152" s="353"/>
      <c r="M152" s="350" t="str">
        <f t="shared" si="2"/>
        <v/>
      </c>
      <c r="N152" s="351" t="str">
        <f t="shared" si="3"/>
        <v/>
      </c>
      <c r="O152" s="346"/>
      <c r="Q152" s="339"/>
      <c r="S152" s="958"/>
    </row>
    <row r="153" spans="1:19" x14ac:dyDescent="0.25">
      <c r="A153" s="339"/>
      <c r="C153" s="346"/>
      <c r="D153" s="1349"/>
      <c r="E153" s="1349"/>
      <c r="F153" s="346"/>
      <c r="G153" s="1349"/>
      <c r="H153" s="1349"/>
      <c r="I153" s="346"/>
      <c r="J153" s="352"/>
      <c r="K153" s="346"/>
      <c r="L153" s="353"/>
      <c r="M153" s="350" t="str">
        <f t="shared" si="2"/>
        <v/>
      </c>
      <c r="N153" s="351" t="str">
        <f t="shared" si="3"/>
        <v/>
      </c>
      <c r="O153" s="346"/>
      <c r="Q153" s="339"/>
      <c r="S153" s="958"/>
    </row>
    <row r="154" spans="1:19" x14ac:dyDescent="0.25">
      <c r="A154" s="339"/>
      <c r="C154" s="346"/>
      <c r="D154" s="1349"/>
      <c r="E154" s="1349"/>
      <c r="F154" s="346"/>
      <c r="G154" s="1349"/>
      <c r="H154" s="1349"/>
      <c r="I154" s="346"/>
      <c r="J154" s="352"/>
      <c r="K154" s="346"/>
      <c r="L154" s="353"/>
      <c r="M154" s="350" t="str">
        <f t="shared" si="2"/>
        <v/>
      </c>
      <c r="N154" s="351" t="str">
        <f t="shared" si="3"/>
        <v/>
      </c>
      <c r="O154" s="346"/>
      <c r="Q154" s="339"/>
      <c r="S154" s="958"/>
    </row>
    <row r="155" spans="1:19" x14ac:dyDescent="0.25">
      <c r="A155" s="339"/>
      <c r="C155" s="346"/>
      <c r="D155" s="1349"/>
      <c r="E155" s="1349"/>
      <c r="F155" s="346"/>
      <c r="G155" s="1349"/>
      <c r="H155" s="1349"/>
      <c r="I155" s="346"/>
      <c r="J155" s="352"/>
      <c r="K155" s="346"/>
      <c r="L155" s="353"/>
      <c r="M155" s="350" t="str">
        <f t="shared" si="2"/>
        <v/>
      </c>
      <c r="N155" s="351" t="str">
        <f t="shared" si="3"/>
        <v/>
      </c>
      <c r="O155" s="346"/>
      <c r="Q155" s="339"/>
      <c r="S155" s="958"/>
    </row>
    <row r="156" spans="1:19" x14ac:dyDescent="0.25">
      <c r="A156" s="339"/>
      <c r="C156" s="346"/>
      <c r="D156" s="1349"/>
      <c r="E156" s="1349"/>
      <c r="F156" s="346"/>
      <c r="G156" s="1349"/>
      <c r="H156" s="1349"/>
      <c r="I156" s="346"/>
      <c r="J156" s="352"/>
      <c r="K156" s="346"/>
      <c r="L156" s="353"/>
      <c r="M156" s="350" t="str">
        <f t="shared" si="2"/>
        <v/>
      </c>
      <c r="N156" s="351" t="str">
        <f t="shared" si="3"/>
        <v/>
      </c>
      <c r="O156" s="346"/>
      <c r="Q156" s="339"/>
      <c r="S156" s="958"/>
    </row>
    <row r="157" spans="1:19" x14ac:dyDescent="0.25">
      <c r="A157" s="339"/>
      <c r="C157" s="346"/>
      <c r="D157" s="1349"/>
      <c r="E157" s="1349"/>
      <c r="F157" s="346"/>
      <c r="G157" s="1349"/>
      <c r="H157" s="1349"/>
      <c r="I157" s="346"/>
      <c r="J157" s="352"/>
      <c r="K157" s="346"/>
      <c r="L157" s="353"/>
      <c r="M157" s="350" t="str">
        <f t="shared" si="2"/>
        <v/>
      </c>
      <c r="N157" s="351" t="str">
        <f t="shared" si="3"/>
        <v/>
      </c>
      <c r="O157" s="346"/>
      <c r="Q157" s="339"/>
      <c r="S157" s="958"/>
    </row>
    <row r="158" spans="1:19" x14ac:dyDescent="0.25">
      <c r="A158" s="339"/>
      <c r="C158" s="346"/>
      <c r="D158" s="1349"/>
      <c r="E158" s="1349"/>
      <c r="F158" s="346"/>
      <c r="G158" s="1349"/>
      <c r="H158" s="1349"/>
      <c r="I158" s="346"/>
      <c r="J158" s="352"/>
      <c r="K158" s="346"/>
      <c r="L158" s="353"/>
      <c r="M158" s="350" t="str">
        <f t="shared" si="2"/>
        <v/>
      </c>
      <c r="N158" s="351" t="str">
        <f t="shared" si="3"/>
        <v/>
      </c>
      <c r="O158" s="346"/>
      <c r="Q158" s="339"/>
      <c r="S158" s="958"/>
    </row>
    <row r="159" spans="1:19" x14ac:dyDescent="0.25">
      <c r="A159" s="339"/>
      <c r="C159" s="346"/>
      <c r="D159" s="1349"/>
      <c r="E159" s="1349"/>
      <c r="F159" s="346"/>
      <c r="G159" s="1349"/>
      <c r="H159" s="1349"/>
      <c r="I159" s="346"/>
      <c r="J159" s="352"/>
      <c r="K159" s="346"/>
      <c r="L159" s="353"/>
      <c r="M159" s="350" t="str">
        <f t="shared" si="2"/>
        <v/>
      </c>
      <c r="N159" s="351" t="str">
        <f t="shared" si="3"/>
        <v/>
      </c>
      <c r="O159" s="346"/>
      <c r="Q159" s="339"/>
      <c r="S159" s="958"/>
    </row>
    <row r="160" spans="1:19" x14ac:dyDescent="0.25">
      <c r="A160" s="339"/>
      <c r="C160" s="346"/>
      <c r="D160" s="1349"/>
      <c r="E160" s="1349"/>
      <c r="F160" s="346"/>
      <c r="G160" s="1349"/>
      <c r="H160" s="1349"/>
      <c r="I160" s="346"/>
      <c r="J160" s="352"/>
      <c r="K160" s="346"/>
      <c r="L160" s="353"/>
      <c r="M160" s="350" t="str">
        <f t="shared" si="2"/>
        <v/>
      </c>
      <c r="N160" s="351" t="str">
        <f t="shared" si="3"/>
        <v/>
      </c>
      <c r="O160" s="346"/>
      <c r="Q160" s="339"/>
      <c r="S160" s="958"/>
    </row>
    <row r="161" spans="1:19" x14ac:dyDescent="0.25">
      <c r="A161" s="339"/>
      <c r="C161" s="346"/>
      <c r="D161" s="1349"/>
      <c r="E161" s="1349"/>
      <c r="F161" s="346"/>
      <c r="G161" s="1349"/>
      <c r="H161" s="1349"/>
      <c r="I161" s="346"/>
      <c r="J161" s="352"/>
      <c r="K161" s="346"/>
      <c r="L161" s="353"/>
      <c r="M161" s="350" t="str">
        <f t="shared" si="2"/>
        <v/>
      </c>
      <c r="N161" s="351" t="str">
        <f t="shared" si="3"/>
        <v/>
      </c>
      <c r="O161" s="346"/>
      <c r="Q161" s="339"/>
      <c r="S161" s="958"/>
    </row>
    <row r="162" spans="1:19" x14ac:dyDescent="0.25">
      <c r="A162" s="339"/>
      <c r="C162" s="346"/>
      <c r="D162" s="1349"/>
      <c r="E162" s="1349"/>
      <c r="F162" s="346"/>
      <c r="G162" s="1349"/>
      <c r="H162" s="1349"/>
      <c r="I162" s="346"/>
      <c r="J162" s="352"/>
      <c r="K162" s="346"/>
      <c r="L162" s="353"/>
      <c r="M162" s="350" t="str">
        <f t="shared" si="2"/>
        <v/>
      </c>
      <c r="N162" s="351" t="str">
        <f t="shared" si="3"/>
        <v/>
      </c>
      <c r="O162" s="346"/>
      <c r="Q162" s="339"/>
      <c r="S162" s="958"/>
    </row>
    <row r="163" spans="1:19" x14ac:dyDescent="0.25">
      <c r="A163" s="339"/>
      <c r="C163" s="346"/>
      <c r="D163" s="1349"/>
      <c r="E163" s="1349"/>
      <c r="F163" s="346"/>
      <c r="G163" s="1349"/>
      <c r="H163" s="1349"/>
      <c r="I163" s="346"/>
      <c r="J163" s="352"/>
      <c r="K163" s="346"/>
      <c r="L163" s="353"/>
      <c r="M163" s="350" t="str">
        <f t="shared" si="2"/>
        <v/>
      </c>
      <c r="N163" s="351" t="str">
        <f t="shared" si="3"/>
        <v/>
      </c>
      <c r="O163" s="346"/>
      <c r="Q163" s="339"/>
      <c r="S163" s="958"/>
    </row>
    <row r="164" spans="1:19" x14ac:dyDescent="0.25">
      <c r="A164" s="339"/>
      <c r="C164" s="346"/>
      <c r="D164" s="1349"/>
      <c r="E164" s="1349"/>
      <c r="F164" s="346"/>
      <c r="G164" s="1349"/>
      <c r="H164" s="1349"/>
      <c r="I164" s="346"/>
      <c r="J164" s="352"/>
      <c r="K164" s="346"/>
      <c r="L164" s="353"/>
      <c r="M164" s="350" t="str">
        <f t="shared" si="2"/>
        <v/>
      </c>
      <c r="N164" s="351" t="str">
        <f t="shared" si="3"/>
        <v/>
      </c>
      <c r="O164" s="346"/>
      <c r="Q164" s="339"/>
      <c r="S164" s="958"/>
    </row>
    <row r="165" spans="1:19" x14ac:dyDescent="0.25">
      <c r="A165" s="339"/>
      <c r="C165" s="346"/>
      <c r="D165" s="1349"/>
      <c r="E165" s="1349"/>
      <c r="F165" s="346"/>
      <c r="G165" s="1349"/>
      <c r="H165" s="1349"/>
      <c r="I165" s="346"/>
      <c r="J165" s="352"/>
      <c r="K165" s="346"/>
      <c r="L165" s="353"/>
      <c r="M165" s="350" t="str">
        <f t="shared" si="2"/>
        <v/>
      </c>
      <c r="N165" s="351" t="str">
        <f t="shared" si="3"/>
        <v/>
      </c>
      <c r="O165" s="346"/>
      <c r="Q165" s="339"/>
      <c r="S165" s="958"/>
    </row>
    <row r="166" spans="1:19" x14ac:dyDescent="0.25">
      <c r="A166" s="339"/>
      <c r="C166" s="346"/>
      <c r="D166" s="1349"/>
      <c r="E166" s="1349"/>
      <c r="F166" s="346"/>
      <c r="G166" s="1349"/>
      <c r="H166" s="1349"/>
      <c r="I166" s="346"/>
      <c r="J166" s="352"/>
      <c r="K166" s="346"/>
      <c r="L166" s="353"/>
      <c r="M166" s="350" t="str">
        <f t="shared" si="2"/>
        <v/>
      </c>
      <c r="N166" s="351" t="str">
        <f t="shared" si="3"/>
        <v/>
      </c>
      <c r="O166" s="346"/>
      <c r="Q166" s="339"/>
      <c r="S166" s="958"/>
    </row>
    <row r="167" spans="1:19" x14ac:dyDescent="0.25">
      <c r="A167" s="339"/>
      <c r="C167" s="346"/>
      <c r="D167" s="1349"/>
      <c r="E167" s="1349"/>
      <c r="F167" s="346"/>
      <c r="G167" s="1349"/>
      <c r="H167" s="1349"/>
      <c r="I167" s="346"/>
      <c r="J167" s="352"/>
      <c r="K167" s="346"/>
      <c r="L167" s="353"/>
      <c r="M167" s="350" t="str">
        <f t="shared" si="2"/>
        <v/>
      </c>
      <c r="N167" s="351" t="str">
        <f t="shared" si="3"/>
        <v/>
      </c>
      <c r="O167" s="346"/>
      <c r="Q167" s="339"/>
      <c r="S167" s="958"/>
    </row>
    <row r="168" spans="1:19" x14ac:dyDescent="0.25">
      <c r="A168" s="339"/>
      <c r="C168" s="346"/>
      <c r="D168" s="1349"/>
      <c r="E168" s="1349"/>
      <c r="F168" s="346"/>
      <c r="G168" s="1349"/>
      <c r="H168" s="1349"/>
      <c r="I168" s="346"/>
      <c r="J168" s="352"/>
      <c r="K168" s="346"/>
      <c r="L168" s="353"/>
      <c r="M168" s="350" t="str">
        <f t="shared" si="2"/>
        <v/>
      </c>
      <c r="N168" s="351" t="str">
        <f t="shared" si="3"/>
        <v/>
      </c>
      <c r="O168" s="346"/>
      <c r="Q168" s="339"/>
      <c r="S168" s="958"/>
    </row>
    <row r="169" spans="1:19" x14ac:dyDescent="0.25">
      <c r="A169" s="339"/>
      <c r="C169" s="346"/>
      <c r="D169" s="1349"/>
      <c r="E169" s="1349"/>
      <c r="F169" s="346"/>
      <c r="G169" s="1349"/>
      <c r="H169" s="1349"/>
      <c r="I169" s="346"/>
      <c r="J169" s="352"/>
      <c r="K169" s="346"/>
      <c r="L169" s="353"/>
      <c r="M169" s="350" t="str">
        <f t="shared" si="2"/>
        <v/>
      </c>
      <c r="N169" s="351" t="str">
        <f t="shared" si="3"/>
        <v/>
      </c>
      <c r="O169" s="346"/>
      <c r="Q169" s="339"/>
      <c r="S169" s="958"/>
    </row>
    <row r="170" spans="1:19" x14ac:dyDescent="0.25">
      <c r="A170" s="339"/>
      <c r="C170" s="346"/>
      <c r="D170" s="1349"/>
      <c r="E170" s="1349"/>
      <c r="F170" s="346"/>
      <c r="G170" s="1349"/>
      <c r="H170" s="1349"/>
      <c r="I170" s="346"/>
      <c r="J170" s="352"/>
      <c r="K170" s="346"/>
      <c r="L170" s="353"/>
      <c r="M170" s="350" t="str">
        <f t="shared" si="2"/>
        <v/>
      </c>
      <c r="N170" s="351" t="str">
        <f t="shared" si="3"/>
        <v/>
      </c>
      <c r="O170" s="346"/>
      <c r="Q170" s="339"/>
      <c r="S170" s="958"/>
    </row>
    <row r="171" spans="1:19" x14ac:dyDescent="0.25">
      <c r="A171" s="339"/>
      <c r="C171" s="346"/>
      <c r="D171" s="1349"/>
      <c r="E171" s="1349"/>
      <c r="F171" s="346"/>
      <c r="G171" s="1349"/>
      <c r="H171" s="1349"/>
      <c r="I171" s="346"/>
      <c r="J171" s="352"/>
      <c r="K171" s="346"/>
      <c r="L171" s="353"/>
      <c r="M171" s="350" t="str">
        <f t="shared" si="2"/>
        <v/>
      </c>
      <c r="N171" s="351" t="str">
        <f t="shared" si="3"/>
        <v/>
      </c>
      <c r="O171" s="346"/>
      <c r="Q171" s="339"/>
      <c r="S171" s="958"/>
    </row>
    <row r="172" spans="1:19" x14ac:dyDescent="0.25">
      <c r="A172" s="339"/>
      <c r="C172" s="346"/>
      <c r="D172" s="1349"/>
      <c r="E172" s="1349"/>
      <c r="F172" s="346"/>
      <c r="G172" s="1349"/>
      <c r="H172" s="1349"/>
      <c r="I172" s="346"/>
      <c r="J172" s="352"/>
      <c r="K172" s="346"/>
      <c r="L172" s="353"/>
      <c r="M172" s="350" t="str">
        <f t="shared" si="2"/>
        <v/>
      </c>
      <c r="N172" s="351" t="str">
        <f t="shared" si="3"/>
        <v/>
      </c>
      <c r="O172" s="346"/>
      <c r="Q172" s="339"/>
      <c r="S172" s="958"/>
    </row>
    <row r="173" spans="1:19" x14ac:dyDescent="0.25">
      <c r="A173" s="339"/>
      <c r="C173" s="346"/>
      <c r="D173" s="1349"/>
      <c r="E173" s="1349"/>
      <c r="F173" s="346"/>
      <c r="G173" s="1349"/>
      <c r="H173" s="1349"/>
      <c r="I173" s="346"/>
      <c r="J173" s="352"/>
      <c r="K173" s="346"/>
      <c r="L173" s="353"/>
      <c r="M173" s="350" t="str">
        <f t="shared" si="2"/>
        <v/>
      </c>
      <c r="N173" s="351" t="str">
        <f t="shared" si="3"/>
        <v/>
      </c>
      <c r="O173" s="346"/>
      <c r="Q173" s="339"/>
      <c r="S173" s="958"/>
    </row>
    <row r="174" spans="1:19" x14ac:dyDescent="0.25">
      <c r="A174" s="339"/>
      <c r="C174" s="346"/>
      <c r="D174" s="1349"/>
      <c r="E174" s="1349"/>
      <c r="F174" s="346"/>
      <c r="G174" s="1349"/>
      <c r="H174" s="1349"/>
      <c r="I174" s="346"/>
      <c r="J174" s="352"/>
      <c r="K174" s="346"/>
      <c r="L174" s="353"/>
      <c r="M174" s="350" t="str">
        <f t="shared" si="2"/>
        <v/>
      </c>
      <c r="N174" s="351" t="str">
        <f t="shared" si="3"/>
        <v/>
      </c>
      <c r="O174" s="346"/>
      <c r="Q174" s="339"/>
      <c r="S174" s="958"/>
    </row>
    <row r="175" spans="1:19" x14ac:dyDescent="0.25">
      <c r="A175" s="339"/>
      <c r="C175" s="346"/>
      <c r="D175" s="1349"/>
      <c r="E175" s="1349"/>
      <c r="F175" s="346"/>
      <c r="G175" s="1349"/>
      <c r="H175" s="1349"/>
      <c r="I175" s="346"/>
      <c r="J175" s="352"/>
      <c r="K175" s="346"/>
      <c r="L175" s="353"/>
      <c r="M175" s="350" t="str">
        <f t="shared" si="2"/>
        <v/>
      </c>
      <c r="N175" s="351" t="str">
        <f t="shared" si="3"/>
        <v/>
      </c>
      <c r="O175" s="346"/>
      <c r="Q175" s="339"/>
      <c r="S175" s="958"/>
    </row>
    <row r="176" spans="1:19" x14ac:dyDescent="0.25">
      <c r="A176" s="339"/>
      <c r="C176" s="346"/>
      <c r="D176" s="1349"/>
      <c r="E176" s="1349"/>
      <c r="F176" s="346"/>
      <c r="G176" s="1349"/>
      <c r="H176" s="1349"/>
      <c r="I176" s="346"/>
      <c r="J176" s="352"/>
      <c r="K176" s="346"/>
      <c r="L176" s="353"/>
      <c r="M176" s="350" t="str">
        <f t="shared" si="2"/>
        <v/>
      </c>
      <c r="N176" s="351" t="str">
        <f t="shared" si="3"/>
        <v/>
      </c>
      <c r="O176" s="346"/>
      <c r="Q176" s="339"/>
      <c r="S176" s="958"/>
    </row>
    <row r="177" spans="1:19" x14ac:dyDescent="0.25">
      <c r="A177" s="339"/>
      <c r="C177" s="346"/>
      <c r="D177" s="1349"/>
      <c r="E177" s="1349"/>
      <c r="F177" s="346"/>
      <c r="G177" s="1349"/>
      <c r="H177" s="1349"/>
      <c r="I177" s="346"/>
      <c r="J177" s="352"/>
      <c r="K177" s="346"/>
      <c r="L177" s="353"/>
      <c r="M177" s="350" t="str">
        <f t="shared" si="2"/>
        <v/>
      </c>
      <c r="N177" s="351" t="str">
        <f t="shared" si="3"/>
        <v/>
      </c>
      <c r="O177" s="346"/>
      <c r="Q177" s="339"/>
      <c r="S177" s="958"/>
    </row>
    <row r="178" spans="1:19" x14ac:dyDescent="0.25">
      <c r="A178" s="339"/>
      <c r="C178" s="346"/>
      <c r="D178" s="1349"/>
      <c r="E178" s="1349"/>
      <c r="F178" s="346"/>
      <c r="G178" s="1349"/>
      <c r="H178" s="1349"/>
      <c r="I178" s="346"/>
      <c r="J178" s="352"/>
      <c r="K178" s="346"/>
      <c r="L178" s="353"/>
      <c r="M178" s="350" t="str">
        <f t="shared" si="2"/>
        <v/>
      </c>
      <c r="N178" s="351" t="str">
        <f t="shared" si="3"/>
        <v/>
      </c>
      <c r="O178" s="346"/>
      <c r="Q178" s="339"/>
      <c r="S178" s="958"/>
    </row>
    <row r="179" spans="1:19" x14ac:dyDescent="0.25">
      <c r="A179" s="339"/>
      <c r="C179" s="346"/>
      <c r="D179" s="1349"/>
      <c r="E179" s="1349"/>
      <c r="F179" s="346"/>
      <c r="G179" s="1349"/>
      <c r="H179" s="1349"/>
      <c r="I179" s="346"/>
      <c r="J179" s="352"/>
      <c r="K179" s="346"/>
      <c r="L179" s="353"/>
      <c r="M179" s="350" t="str">
        <f t="shared" si="2"/>
        <v/>
      </c>
      <c r="N179" s="351" t="str">
        <f t="shared" si="3"/>
        <v/>
      </c>
      <c r="O179" s="346"/>
      <c r="Q179" s="339"/>
      <c r="S179" s="958"/>
    </row>
    <row r="180" spans="1:19" x14ac:dyDescent="0.25">
      <c r="A180" s="339"/>
      <c r="C180" s="346"/>
      <c r="D180" s="1349"/>
      <c r="E180" s="1349"/>
      <c r="F180" s="346"/>
      <c r="G180" s="1349"/>
      <c r="H180" s="1349"/>
      <c r="I180" s="346"/>
      <c r="J180" s="352"/>
      <c r="K180" s="346"/>
      <c r="L180" s="353"/>
      <c r="M180" s="350" t="str">
        <f t="shared" si="2"/>
        <v/>
      </c>
      <c r="N180" s="351" t="str">
        <f t="shared" si="3"/>
        <v/>
      </c>
      <c r="O180" s="346"/>
      <c r="Q180" s="339"/>
      <c r="S180" s="958"/>
    </row>
    <row r="181" spans="1:19" x14ac:dyDescent="0.25">
      <c r="A181" s="339"/>
      <c r="C181" s="346"/>
      <c r="D181" s="1349"/>
      <c r="E181" s="1349"/>
      <c r="F181" s="346"/>
      <c r="G181" s="1349"/>
      <c r="H181" s="1349"/>
      <c r="I181" s="346"/>
      <c r="J181" s="352"/>
      <c r="K181" s="346"/>
      <c r="L181" s="353"/>
      <c r="M181" s="350" t="str">
        <f t="shared" si="2"/>
        <v/>
      </c>
      <c r="N181" s="351" t="str">
        <f t="shared" si="3"/>
        <v/>
      </c>
      <c r="O181" s="346"/>
      <c r="Q181" s="339"/>
      <c r="S181" s="958"/>
    </row>
    <row r="182" spans="1:19" x14ac:dyDescent="0.25">
      <c r="A182" s="339"/>
      <c r="C182" s="346"/>
      <c r="D182" s="1349"/>
      <c r="E182" s="1349"/>
      <c r="F182" s="346"/>
      <c r="G182" s="1349"/>
      <c r="H182" s="1349"/>
      <c r="I182" s="346"/>
      <c r="J182" s="352"/>
      <c r="K182" s="346"/>
      <c r="L182" s="353"/>
      <c r="M182" s="350" t="str">
        <f t="shared" si="2"/>
        <v/>
      </c>
      <c r="N182" s="351" t="str">
        <f t="shared" si="3"/>
        <v/>
      </c>
      <c r="O182" s="346"/>
      <c r="Q182" s="339"/>
      <c r="S182" s="958"/>
    </row>
    <row r="183" spans="1:19" x14ac:dyDescent="0.25">
      <c r="A183" s="339"/>
      <c r="C183" s="346"/>
      <c r="D183" s="1349"/>
      <c r="E183" s="1349"/>
      <c r="F183" s="346"/>
      <c r="G183" s="1349"/>
      <c r="H183" s="1349"/>
      <c r="I183" s="346"/>
      <c r="J183" s="352"/>
      <c r="K183" s="346"/>
      <c r="L183" s="353"/>
      <c r="M183" s="350" t="str">
        <f t="shared" si="2"/>
        <v/>
      </c>
      <c r="N183" s="351" t="str">
        <f t="shared" si="3"/>
        <v/>
      </c>
      <c r="O183" s="346"/>
      <c r="Q183" s="339"/>
      <c r="S183" s="958"/>
    </row>
    <row r="184" spans="1:19" x14ac:dyDescent="0.25">
      <c r="A184" s="339"/>
      <c r="C184" s="346"/>
      <c r="D184" s="1349"/>
      <c r="E184" s="1349"/>
      <c r="F184" s="346"/>
      <c r="G184" s="1349"/>
      <c r="H184" s="1349"/>
      <c r="I184" s="346"/>
      <c r="J184" s="352"/>
      <c r="K184" s="346"/>
      <c r="L184" s="353"/>
      <c r="M184" s="350" t="str">
        <f t="shared" si="2"/>
        <v/>
      </c>
      <c r="N184" s="351" t="str">
        <f t="shared" si="3"/>
        <v/>
      </c>
      <c r="O184" s="346"/>
      <c r="Q184" s="339"/>
      <c r="S184" s="958"/>
    </row>
    <row r="185" spans="1:19" x14ac:dyDescent="0.25">
      <c r="A185" s="339"/>
      <c r="C185" s="346"/>
      <c r="D185" s="1349"/>
      <c r="E185" s="1349"/>
      <c r="F185" s="346"/>
      <c r="G185" s="1349"/>
      <c r="H185" s="1349"/>
      <c r="I185" s="346"/>
      <c r="J185" s="352"/>
      <c r="K185" s="346"/>
      <c r="L185" s="353"/>
      <c r="M185" s="350" t="str">
        <f t="shared" si="2"/>
        <v/>
      </c>
      <c r="N185" s="351" t="str">
        <f t="shared" si="3"/>
        <v/>
      </c>
      <c r="O185" s="346"/>
      <c r="Q185" s="339"/>
      <c r="S185" s="958"/>
    </row>
    <row r="186" spans="1:19" x14ac:dyDescent="0.25">
      <c r="A186" s="339"/>
      <c r="C186" s="346"/>
      <c r="D186" s="1349"/>
      <c r="E186" s="1349"/>
      <c r="F186" s="346"/>
      <c r="G186" s="1349"/>
      <c r="H186" s="1349"/>
      <c r="I186" s="346"/>
      <c r="J186" s="352"/>
      <c r="K186" s="346"/>
      <c r="L186" s="353"/>
      <c r="M186" s="350" t="str">
        <f t="shared" si="2"/>
        <v/>
      </c>
      <c r="N186" s="351" t="str">
        <f t="shared" si="3"/>
        <v/>
      </c>
      <c r="O186" s="346"/>
      <c r="Q186" s="339"/>
      <c r="S186" s="958"/>
    </row>
    <row r="187" spans="1:19" x14ac:dyDescent="0.25">
      <c r="A187" s="339"/>
      <c r="C187" s="346"/>
      <c r="D187" s="1349"/>
      <c r="E187" s="1349"/>
      <c r="F187" s="346"/>
      <c r="G187" s="1349"/>
      <c r="H187" s="1349"/>
      <c r="I187" s="346"/>
      <c r="J187" s="352"/>
      <c r="K187" s="346"/>
      <c r="L187" s="353"/>
      <c r="M187" s="350" t="str">
        <f t="shared" si="2"/>
        <v/>
      </c>
      <c r="N187" s="351" t="str">
        <f t="shared" si="3"/>
        <v/>
      </c>
      <c r="O187" s="346"/>
      <c r="Q187" s="339"/>
      <c r="S187" s="958"/>
    </row>
    <row r="188" spans="1:19" x14ac:dyDescent="0.25">
      <c r="A188" s="339"/>
      <c r="C188" s="346"/>
      <c r="D188" s="1349"/>
      <c r="E188" s="1349"/>
      <c r="F188" s="346"/>
      <c r="G188" s="1349"/>
      <c r="H188" s="1349"/>
      <c r="I188" s="346"/>
      <c r="J188" s="352"/>
      <c r="K188" s="346"/>
      <c r="L188" s="353"/>
      <c r="M188" s="350" t="str">
        <f t="shared" si="2"/>
        <v/>
      </c>
      <c r="N188" s="351" t="str">
        <f t="shared" si="3"/>
        <v/>
      </c>
      <c r="O188" s="346"/>
      <c r="Q188" s="339"/>
      <c r="S188" s="958"/>
    </row>
    <row r="189" spans="1:19" x14ac:dyDescent="0.25">
      <c r="A189" s="339"/>
      <c r="C189" s="346"/>
      <c r="D189" s="1349"/>
      <c r="E189" s="1349"/>
      <c r="F189" s="346"/>
      <c r="G189" s="1349"/>
      <c r="H189" s="1349"/>
      <c r="I189" s="346"/>
      <c r="J189" s="352"/>
      <c r="K189" s="346"/>
      <c r="L189" s="353"/>
      <c r="M189" s="350" t="str">
        <f t="shared" si="2"/>
        <v/>
      </c>
      <c r="N189" s="351" t="str">
        <f t="shared" si="3"/>
        <v/>
      </c>
      <c r="O189" s="346"/>
      <c r="Q189" s="339"/>
      <c r="S189" s="958"/>
    </row>
    <row r="190" spans="1:19" x14ac:dyDescent="0.25">
      <c r="A190" s="339"/>
      <c r="C190" s="346"/>
      <c r="D190" s="1349"/>
      <c r="E190" s="1349"/>
      <c r="F190" s="346"/>
      <c r="G190" s="1349"/>
      <c r="H190" s="1349"/>
      <c r="I190" s="346"/>
      <c r="J190" s="352"/>
      <c r="K190" s="346"/>
      <c r="L190" s="353"/>
      <c r="M190" s="350" t="str">
        <f t="shared" si="2"/>
        <v/>
      </c>
      <c r="N190" s="351" t="str">
        <f t="shared" si="3"/>
        <v/>
      </c>
      <c r="O190" s="346"/>
      <c r="Q190" s="339"/>
      <c r="S190" s="958"/>
    </row>
    <row r="191" spans="1:19" x14ac:dyDescent="0.25">
      <c r="A191" s="339"/>
      <c r="C191" s="346"/>
      <c r="D191" s="1349"/>
      <c r="E191" s="1349"/>
      <c r="F191" s="346"/>
      <c r="G191" s="1349"/>
      <c r="H191" s="1349"/>
      <c r="I191" s="346"/>
      <c r="J191" s="352"/>
      <c r="K191" s="346"/>
      <c r="L191" s="353"/>
      <c r="M191" s="350" t="str">
        <f t="shared" si="2"/>
        <v/>
      </c>
      <c r="N191" s="351" t="str">
        <f t="shared" si="3"/>
        <v/>
      </c>
      <c r="O191" s="346"/>
      <c r="Q191" s="339"/>
      <c r="S191" s="958"/>
    </row>
    <row r="192" spans="1:19" x14ac:dyDescent="0.25">
      <c r="A192" s="339"/>
      <c r="C192" s="346"/>
      <c r="D192" s="1349"/>
      <c r="E192" s="1349"/>
      <c r="F192" s="346"/>
      <c r="G192" s="1349"/>
      <c r="H192" s="1349"/>
      <c r="I192" s="346"/>
      <c r="J192" s="352"/>
      <c r="K192" s="346"/>
      <c r="L192" s="353"/>
      <c r="M192" s="350" t="str">
        <f t="shared" si="2"/>
        <v/>
      </c>
      <c r="N192" s="351" t="str">
        <f t="shared" si="3"/>
        <v/>
      </c>
      <c r="O192" s="346"/>
      <c r="Q192" s="339"/>
      <c r="S192" s="958"/>
    </row>
    <row r="193" spans="1:19" x14ac:dyDescent="0.25">
      <c r="A193" s="339"/>
      <c r="C193" s="346"/>
      <c r="D193" s="1349"/>
      <c r="E193" s="1349"/>
      <c r="F193" s="346"/>
      <c r="G193" s="1349"/>
      <c r="H193" s="1349"/>
      <c r="I193" s="346"/>
      <c r="J193" s="352"/>
      <c r="K193" s="346"/>
      <c r="L193" s="353"/>
      <c r="M193" s="350" t="str">
        <f t="shared" si="2"/>
        <v/>
      </c>
      <c r="N193" s="351" t="str">
        <f t="shared" si="3"/>
        <v/>
      </c>
      <c r="O193" s="346"/>
      <c r="Q193" s="339"/>
      <c r="S193" s="958"/>
    </row>
    <row r="194" spans="1:19" x14ac:dyDescent="0.25">
      <c r="A194" s="339"/>
      <c r="C194" s="346"/>
      <c r="D194" s="1349"/>
      <c r="E194" s="1349"/>
      <c r="F194" s="346"/>
      <c r="G194" s="1349"/>
      <c r="H194" s="1349"/>
      <c r="I194" s="346"/>
      <c r="J194" s="352"/>
      <c r="K194" s="346"/>
      <c r="L194" s="353"/>
      <c r="M194" s="350" t="str">
        <f t="shared" si="2"/>
        <v/>
      </c>
      <c r="N194" s="351" t="str">
        <f t="shared" si="3"/>
        <v/>
      </c>
      <c r="O194" s="346"/>
      <c r="Q194" s="339"/>
      <c r="S194" s="958"/>
    </row>
    <row r="195" spans="1:19" x14ac:dyDescent="0.25">
      <c r="A195" s="339"/>
      <c r="C195" s="346"/>
      <c r="D195" s="1349"/>
      <c r="E195" s="1349"/>
      <c r="F195" s="346"/>
      <c r="G195" s="1349"/>
      <c r="H195" s="1349"/>
      <c r="I195" s="346"/>
      <c r="J195" s="352"/>
      <c r="K195" s="346"/>
      <c r="L195" s="353"/>
      <c r="M195" s="350" t="str">
        <f t="shared" si="2"/>
        <v/>
      </c>
      <c r="N195" s="351" t="str">
        <f t="shared" si="3"/>
        <v/>
      </c>
      <c r="O195" s="346"/>
      <c r="Q195" s="339"/>
      <c r="S195" s="958"/>
    </row>
    <row r="196" spans="1:19" x14ac:dyDescent="0.25">
      <c r="A196" s="339"/>
      <c r="C196" s="346"/>
      <c r="D196" s="1349"/>
      <c r="E196" s="1349"/>
      <c r="F196" s="346"/>
      <c r="G196" s="1349"/>
      <c r="H196" s="1349"/>
      <c r="I196" s="346"/>
      <c r="J196" s="352"/>
      <c r="K196" s="346"/>
      <c r="L196" s="353"/>
      <c r="M196" s="350" t="str">
        <f t="shared" si="2"/>
        <v/>
      </c>
      <c r="N196" s="351" t="str">
        <f t="shared" si="3"/>
        <v/>
      </c>
      <c r="O196" s="346"/>
      <c r="Q196" s="339"/>
      <c r="S196" s="958"/>
    </row>
    <row r="197" spans="1:19" x14ac:dyDescent="0.25">
      <c r="A197" s="339"/>
      <c r="C197" s="346"/>
      <c r="D197" s="1349"/>
      <c r="E197" s="1349"/>
      <c r="F197" s="346"/>
      <c r="G197" s="1349"/>
      <c r="H197" s="1349"/>
      <c r="I197" s="346"/>
      <c r="J197" s="352"/>
      <c r="K197" s="346"/>
      <c r="L197" s="353"/>
      <c r="M197" s="350" t="str">
        <f t="shared" si="2"/>
        <v/>
      </c>
      <c r="N197" s="351" t="str">
        <f t="shared" si="3"/>
        <v/>
      </c>
      <c r="O197" s="346"/>
      <c r="Q197" s="339"/>
      <c r="S197" s="958"/>
    </row>
    <row r="198" spans="1:19" x14ac:dyDescent="0.25">
      <c r="A198" s="339"/>
      <c r="C198" s="346"/>
      <c r="D198" s="1349"/>
      <c r="E198" s="1349"/>
      <c r="F198" s="346"/>
      <c r="G198" s="1349"/>
      <c r="H198" s="1349"/>
      <c r="I198" s="346"/>
      <c r="J198" s="352"/>
      <c r="K198" s="346"/>
      <c r="L198" s="353"/>
      <c r="M198" s="350" t="str">
        <f t="shared" ref="M198:M261" si="4">IF(K198="","", INDEX(CNTR_EFListSelected,MATCH(K198,CORSIA_FuelsList,0)))</f>
        <v/>
      </c>
      <c r="N198" s="351" t="str">
        <f t="shared" si="3"/>
        <v/>
      </c>
      <c r="O198" s="346"/>
      <c r="Q198" s="339"/>
      <c r="S198" s="958"/>
    </row>
    <row r="199" spans="1:19" x14ac:dyDescent="0.25">
      <c r="A199" s="339"/>
      <c r="C199" s="346"/>
      <c r="D199" s="1349"/>
      <c r="E199" s="1349"/>
      <c r="F199" s="346"/>
      <c r="G199" s="1349"/>
      <c r="H199" s="1349"/>
      <c r="I199" s="346"/>
      <c r="J199" s="352"/>
      <c r="K199" s="346"/>
      <c r="L199" s="353"/>
      <c r="M199" s="350" t="str">
        <f t="shared" si="4"/>
        <v/>
      </c>
      <c r="N199" s="351" t="str">
        <f t="shared" ref="N199:N262" si="5">IF(COUNT(L199:M199)=2,L199*M199,"")</f>
        <v/>
      </c>
      <c r="O199" s="346"/>
      <c r="Q199" s="339"/>
      <c r="S199" s="958"/>
    </row>
    <row r="200" spans="1:19" x14ac:dyDescent="0.25">
      <c r="A200" s="339"/>
      <c r="C200" s="346"/>
      <c r="D200" s="1349"/>
      <c r="E200" s="1349"/>
      <c r="F200" s="346"/>
      <c r="G200" s="1349"/>
      <c r="H200" s="1349"/>
      <c r="I200" s="346"/>
      <c r="J200" s="352"/>
      <c r="K200" s="346"/>
      <c r="L200" s="353"/>
      <c r="M200" s="350" t="str">
        <f t="shared" si="4"/>
        <v/>
      </c>
      <c r="N200" s="351" t="str">
        <f t="shared" si="5"/>
        <v/>
      </c>
      <c r="O200" s="346"/>
      <c r="Q200" s="339"/>
      <c r="S200" s="958"/>
    </row>
    <row r="201" spans="1:19" x14ac:dyDescent="0.25">
      <c r="A201" s="339"/>
      <c r="C201" s="346"/>
      <c r="D201" s="1349"/>
      <c r="E201" s="1349"/>
      <c r="F201" s="346"/>
      <c r="G201" s="1349"/>
      <c r="H201" s="1349"/>
      <c r="I201" s="346"/>
      <c r="J201" s="352"/>
      <c r="K201" s="346"/>
      <c r="L201" s="353"/>
      <c r="M201" s="350" t="str">
        <f t="shared" si="4"/>
        <v/>
      </c>
      <c r="N201" s="351" t="str">
        <f t="shared" si="5"/>
        <v/>
      </c>
      <c r="O201" s="346"/>
      <c r="Q201" s="339"/>
      <c r="S201" s="958"/>
    </row>
    <row r="202" spans="1:19" x14ac:dyDescent="0.25">
      <c r="A202" s="339"/>
      <c r="C202" s="346"/>
      <c r="D202" s="1349"/>
      <c r="E202" s="1349"/>
      <c r="F202" s="346"/>
      <c r="G202" s="1349"/>
      <c r="H202" s="1349"/>
      <c r="I202" s="346"/>
      <c r="J202" s="352"/>
      <c r="K202" s="346"/>
      <c r="L202" s="353"/>
      <c r="M202" s="350" t="str">
        <f t="shared" si="4"/>
        <v/>
      </c>
      <c r="N202" s="351" t="str">
        <f t="shared" si="5"/>
        <v/>
      </c>
      <c r="O202" s="346"/>
      <c r="Q202" s="339"/>
      <c r="S202" s="958"/>
    </row>
    <row r="203" spans="1:19" x14ac:dyDescent="0.25">
      <c r="A203" s="339"/>
      <c r="C203" s="346"/>
      <c r="D203" s="1349"/>
      <c r="E203" s="1349"/>
      <c r="F203" s="346"/>
      <c r="G203" s="1349"/>
      <c r="H203" s="1349"/>
      <c r="I203" s="346"/>
      <c r="J203" s="352"/>
      <c r="K203" s="346"/>
      <c r="L203" s="353"/>
      <c r="M203" s="350" t="str">
        <f t="shared" si="4"/>
        <v/>
      </c>
      <c r="N203" s="351" t="str">
        <f t="shared" si="5"/>
        <v/>
      </c>
      <c r="O203" s="346"/>
      <c r="Q203" s="339"/>
      <c r="S203" s="958"/>
    </row>
    <row r="204" spans="1:19" x14ac:dyDescent="0.25">
      <c r="A204" s="339"/>
      <c r="C204" s="346"/>
      <c r="D204" s="1349"/>
      <c r="E204" s="1349"/>
      <c r="F204" s="346"/>
      <c r="G204" s="1349"/>
      <c r="H204" s="1349"/>
      <c r="I204" s="346"/>
      <c r="J204" s="352"/>
      <c r="K204" s="346"/>
      <c r="L204" s="353"/>
      <c r="M204" s="350" t="str">
        <f t="shared" si="4"/>
        <v/>
      </c>
      <c r="N204" s="351" t="str">
        <f t="shared" si="5"/>
        <v/>
      </c>
      <c r="O204" s="346"/>
      <c r="Q204" s="339"/>
      <c r="S204" s="958"/>
    </row>
    <row r="205" spans="1:19" x14ac:dyDescent="0.25">
      <c r="A205" s="339"/>
      <c r="C205" s="346"/>
      <c r="D205" s="1349"/>
      <c r="E205" s="1349"/>
      <c r="F205" s="346"/>
      <c r="G205" s="1349"/>
      <c r="H205" s="1349"/>
      <c r="I205" s="346"/>
      <c r="J205" s="352"/>
      <c r="K205" s="346"/>
      <c r="L205" s="353"/>
      <c r="M205" s="350" t="str">
        <f t="shared" si="4"/>
        <v/>
      </c>
      <c r="N205" s="351" t="str">
        <f t="shared" si="5"/>
        <v/>
      </c>
      <c r="O205" s="346"/>
      <c r="Q205" s="339"/>
      <c r="S205" s="958"/>
    </row>
    <row r="206" spans="1:19" x14ac:dyDescent="0.25">
      <c r="A206" s="339"/>
      <c r="C206" s="346"/>
      <c r="D206" s="1349"/>
      <c r="E206" s="1349"/>
      <c r="F206" s="346"/>
      <c r="G206" s="1349"/>
      <c r="H206" s="1349"/>
      <c r="I206" s="346"/>
      <c r="J206" s="352"/>
      <c r="K206" s="346"/>
      <c r="L206" s="353"/>
      <c r="M206" s="350" t="str">
        <f t="shared" si="4"/>
        <v/>
      </c>
      <c r="N206" s="351" t="str">
        <f t="shared" si="5"/>
        <v/>
      </c>
      <c r="O206" s="346"/>
      <c r="Q206" s="339"/>
      <c r="S206" s="958"/>
    </row>
    <row r="207" spans="1:19" x14ac:dyDescent="0.25">
      <c r="A207" s="339"/>
      <c r="C207" s="346"/>
      <c r="D207" s="1349"/>
      <c r="E207" s="1349"/>
      <c r="F207" s="346"/>
      <c r="G207" s="1349"/>
      <c r="H207" s="1349"/>
      <c r="I207" s="346"/>
      <c r="J207" s="352"/>
      <c r="K207" s="346"/>
      <c r="L207" s="353"/>
      <c r="M207" s="350" t="str">
        <f t="shared" si="4"/>
        <v/>
      </c>
      <c r="N207" s="351" t="str">
        <f t="shared" si="5"/>
        <v/>
      </c>
      <c r="O207" s="346"/>
      <c r="Q207" s="339"/>
      <c r="S207" s="958"/>
    </row>
    <row r="208" spans="1:19" x14ac:dyDescent="0.25">
      <c r="A208" s="339"/>
      <c r="C208" s="346"/>
      <c r="D208" s="1349"/>
      <c r="E208" s="1349"/>
      <c r="F208" s="346"/>
      <c r="G208" s="1349"/>
      <c r="H208" s="1349"/>
      <c r="I208" s="346"/>
      <c r="J208" s="352"/>
      <c r="K208" s="346"/>
      <c r="L208" s="353"/>
      <c r="M208" s="350" t="str">
        <f t="shared" si="4"/>
        <v/>
      </c>
      <c r="N208" s="351" t="str">
        <f t="shared" si="5"/>
        <v/>
      </c>
      <c r="O208" s="346"/>
      <c r="Q208" s="339"/>
      <c r="S208" s="958"/>
    </row>
    <row r="209" spans="1:19" x14ac:dyDescent="0.25">
      <c r="A209" s="339"/>
      <c r="C209" s="346"/>
      <c r="D209" s="1349"/>
      <c r="E209" s="1349"/>
      <c r="F209" s="346"/>
      <c r="G209" s="1349"/>
      <c r="H209" s="1349"/>
      <c r="I209" s="346"/>
      <c r="J209" s="352"/>
      <c r="K209" s="346"/>
      <c r="L209" s="353"/>
      <c r="M209" s="350" t="str">
        <f t="shared" si="4"/>
        <v/>
      </c>
      <c r="N209" s="351" t="str">
        <f t="shared" si="5"/>
        <v/>
      </c>
      <c r="O209" s="346"/>
      <c r="Q209" s="339"/>
      <c r="S209" s="958"/>
    </row>
    <row r="210" spans="1:19" x14ac:dyDescent="0.25">
      <c r="A210" s="339"/>
      <c r="C210" s="346"/>
      <c r="D210" s="1349"/>
      <c r="E210" s="1349"/>
      <c r="F210" s="346"/>
      <c r="G210" s="1349"/>
      <c r="H210" s="1349"/>
      <c r="I210" s="346"/>
      <c r="J210" s="352"/>
      <c r="K210" s="346"/>
      <c r="L210" s="353"/>
      <c r="M210" s="350" t="str">
        <f t="shared" si="4"/>
        <v/>
      </c>
      <c r="N210" s="351" t="str">
        <f t="shared" si="5"/>
        <v/>
      </c>
      <c r="O210" s="346"/>
      <c r="Q210" s="339"/>
      <c r="S210" s="958"/>
    </row>
    <row r="211" spans="1:19" x14ac:dyDescent="0.25">
      <c r="A211" s="339"/>
      <c r="C211" s="346"/>
      <c r="D211" s="1349"/>
      <c r="E211" s="1349"/>
      <c r="F211" s="346"/>
      <c r="G211" s="1349"/>
      <c r="H211" s="1349"/>
      <c r="I211" s="346"/>
      <c r="J211" s="352"/>
      <c r="K211" s="346"/>
      <c r="L211" s="353"/>
      <c r="M211" s="350" t="str">
        <f t="shared" si="4"/>
        <v/>
      </c>
      <c r="N211" s="351" t="str">
        <f t="shared" si="5"/>
        <v/>
      </c>
      <c r="O211" s="346"/>
      <c r="Q211" s="339"/>
      <c r="S211" s="958"/>
    </row>
    <row r="212" spans="1:19" x14ac:dyDescent="0.25">
      <c r="A212" s="339"/>
      <c r="C212" s="346"/>
      <c r="D212" s="1349"/>
      <c r="E212" s="1349"/>
      <c r="F212" s="346"/>
      <c r="G212" s="1349"/>
      <c r="H212" s="1349"/>
      <c r="I212" s="346"/>
      <c r="J212" s="352"/>
      <c r="K212" s="346"/>
      <c r="L212" s="353"/>
      <c r="M212" s="350" t="str">
        <f t="shared" si="4"/>
        <v/>
      </c>
      <c r="N212" s="351" t="str">
        <f t="shared" si="5"/>
        <v/>
      </c>
      <c r="O212" s="346"/>
      <c r="Q212" s="339"/>
      <c r="S212" s="958"/>
    </row>
    <row r="213" spans="1:19" x14ac:dyDescent="0.25">
      <c r="A213" s="339"/>
      <c r="C213" s="346"/>
      <c r="D213" s="1349"/>
      <c r="E213" s="1349"/>
      <c r="F213" s="346"/>
      <c r="G213" s="1349"/>
      <c r="H213" s="1349"/>
      <c r="I213" s="346"/>
      <c r="J213" s="352"/>
      <c r="K213" s="346"/>
      <c r="L213" s="353"/>
      <c r="M213" s="350" t="str">
        <f t="shared" si="4"/>
        <v/>
      </c>
      <c r="N213" s="351" t="str">
        <f t="shared" si="5"/>
        <v/>
      </c>
      <c r="O213" s="346"/>
      <c r="Q213" s="339"/>
      <c r="S213" s="958"/>
    </row>
    <row r="214" spans="1:19" x14ac:dyDescent="0.25">
      <c r="A214" s="339"/>
      <c r="C214" s="346"/>
      <c r="D214" s="1349"/>
      <c r="E214" s="1349"/>
      <c r="F214" s="346"/>
      <c r="G214" s="1349"/>
      <c r="H214" s="1349"/>
      <c r="I214" s="346"/>
      <c r="J214" s="352"/>
      <c r="K214" s="346"/>
      <c r="L214" s="353"/>
      <c r="M214" s="350" t="str">
        <f t="shared" si="4"/>
        <v/>
      </c>
      <c r="N214" s="351" t="str">
        <f t="shared" si="5"/>
        <v/>
      </c>
      <c r="O214" s="346"/>
      <c r="Q214" s="339"/>
      <c r="S214" s="958"/>
    </row>
    <row r="215" spans="1:19" x14ac:dyDescent="0.25">
      <c r="A215" s="339"/>
      <c r="C215" s="346"/>
      <c r="D215" s="1349"/>
      <c r="E215" s="1349"/>
      <c r="F215" s="346"/>
      <c r="G215" s="1349"/>
      <c r="H215" s="1349"/>
      <c r="I215" s="346"/>
      <c r="J215" s="352"/>
      <c r="K215" s="346"/>
      <c r="L215" s="353"/>
      <c r="M215" s="350" t="str">
        <f t="shared" si="4"/>
        <v/>
      </c>
      <c r="N215" s="351" t="str">
        <f t="shared" si="5"/>
        <v/>
      </c>
      <c r="O215" s="346"/>
      <c r="Q215" s="339"/>
      <c r="S215" s="958"/>
    </row>
    <row r="216" spans="1:19" x14ac:dyDescent="0.25">
      <c r="A216" s="339"/>
      <c r="C216" s="346"/>
      <c r="D216" s="1349"/>
      <c r="E216" s="1349"/>
      <c r="F216" s="346"/>
      <c r="G216" s="1349"/>
      <c r="H216" s="1349"/>
      <c r="I216" s="346"/>
      <c r="J216" s="352"/>
      <c r="K216" s="346"/>
      <c r="L216" s="353"/>
      <c r="M216" s="350" t="str">
        <f t="shared" si="4"/>
        <v/>
      </c>
      <c r="N216" s="351" t="str">
        <f t="shared" si="5"/>
        <v/>
      </c>
      <c r="O216" s="346"/>
      <c r="Q216" s="339"/>
      <c r="S216" s="958"/>
    </row>
    <row r="217" spans="1:19" x14ac:dyDescent="0.25">
      <c r="A217" s="339"/>
      <c r="C217" s="346"/>
      <c r="D217" s="1349"/>
      <c r="E217" s="1349"/>
      <c r="F217" s="346"/>
      <c r="G217" s="1349"/>
      <c r="H217" s="1349"/>
      <c r="I217" s="346"/>
      <c r="J217" s="352"/>
      <c r="K217" s="346"/>
      <c r="L217" s="353"/>
      <c r="M217" s="350" t="str">
        <f t="shared" si="4"/>
        <v/>
      </c>
      <c r="N217" s="351" t="str">
        <f t="shared" si="5"/>
        <v/>
      </c>
      <c r="O217" s="346"/>
      <c r="Q217" s="339"/>
      <c r="S217" s="958"/>
    </row>
    <row r="218" spans="1:19" x14ac:dyDescent="0.25">
      <c r="A218" s="339"/>
      <c r="C218" s="346"/>
      <c r="D218" s="1349"/>
      <c r="E218" s="1349"/>
      <c r="F218" s="346"/>
      <c r="G218" s="1349"/>
      <c r="H218" s="1349"/>
      <c r="I218" s="346"/>
      <c r="J218" s="352"/>
      <c r="K218" s="346"/>
      <c r="L218" s="353"/>
      <c r="M218" s="350" t="str">
        <f t="shared" si="4"/>
        <v/>
      </c>
      <c r="N218" s="351" t="str">
        <f t="shared" si="5"/>
        <v/>
      </c>
      <c r="O218" s="346"/>
      <c r="Q218" s="339"/>
      <c r="S218" s="958"/>
    </row>
    <row r="219" spans="1:19" x14ac:dyDescent="0.25">
      <c r="A219" s="339"/>
      <c r="C219" s="346"/>
      <c r="D219" s="1349"/>
      <c r="E219" s="1349"/>
      <c r="F219" s="346"/>
      <c r="G219" s="1349"/>
      <c r="H219" s="1349"/>
      <c r="I219" s="346"/>
      <c r="J219" s="352"/>
      <c r="K219" s="346"/>
      <c r="L219" s="353"/>
      <c r="M219" s="350" t="str">
        <f t="shared" si="4"/>
        <v/>
      </c>
      <c r="N219" s="351" t="str">
        <f t="shared" si="5"/>
        <v/>
      </c>
      <c r="O219" s="346"/>
      <c r="Q219" s="339"/>
      <c r="S219" s="958"/>
    </row>
    <row r="220" spans="1:19" x14ac:dyDescent="0.25">
      <c r="A220" s="339"/>
      <c r="C220" s="346"/>
      <c r="D220" s="1349"/>
      <c r="E220" s="1349"/>
      <c r="F220" s="346"/>
      <c r="G220" s="1349"/>
      <c r="H220" s="1349"/>
      <c r="I220" s="346"/>
      <c r="J220" s="352"/>
      <c r="K220" s="346"/>
      <c r="L220" s="353"/>
      <c r="M220" s="350" t="str">
        <f t="shared" si="4"/>
        <v/>
      </c>
      <c r="N220" s="351" t="str">
        <f t="shared" si="5"/>
        <v/>
      </c>
      <c r="O220" s="346"/>
      <c r="Q220" s="339"/>
      <c r="S220" s="958"/>
    </row>
    <row r="221" spans="1:19" x14ac:dyDescent="0.25">
      <c r="A221" s="339"/>
      <c r="C221" s="346"/>
      <c r="D221" s="1349"/>
      <c r="E221" s="1349"/>
      <c r="F221" s="346"/>
      <c r="G221" s="1349"/>
      <c r="H221" s="1349"/>
      <c r="I221" s="346"/>
      <c r="J221" s="352"/>
      <c r="K221" s="346"/>
      <c r="L221" s="353"/>
      <c r="M221" s="350" t="str">
        <f t="shared" si="4"/>
        <v/>
      </c>
      <c r="N221" s="351" t="str">
        <f t="shared" si="5"/>
        <v/>
      </c>
      <c r="O221" s="346"/>
      <c r="Q221" s="339"/>
      <c r="S221" s="958"/>
    </row>
    <row r="222" spans="1:19" x14ac:dyDescent="0.25">
      <c r="A222" s="339"/>
      <c r="C222" s="346"/>
      <c r="D222" s="1349"/>
      <c r="E222" s="1349"/>
      <c r="F222" s="346"/>
      <c r="G222" s="1349"/>
      <c r="H222" s="1349"/>
      <c r="I222" s="346"/>
      <c r="J222" s="352"/>
      <c r="K222" s="346"/>
      <c r="L222" s="353"/>
      <c r="M222" s="350" t="str">
        <f t="shared" si="4"/>
        <v/>
      </c>
      <c r="N222" s="351" t="str">
        <f t="shared" si="5"/>
        <v/>
      </c>
      <c r="O222" s="346"/>
      <c r="Q222" s="339"/>
      <c r="S222" s="958"/>
    </row>
    <row r="223" spans="1:19" x14ac:dyDescent="0.25">
      <c r="A223" s="339"/>
      <c r="C223" s="346"/>
      <c r="D223" s="1349"/>
      <c r="E223" s="1349"/>
      <c r="F223" s="346"/>
      <c r="G223" s="1349"/>
      <c r="H223" s="1349"/>
      <c r="I223" s="346"/>
      <c r="J223" s="352"/>
      <c r="K223" s="346"/>
      <c r="L223" s="353"/>
      <c r="M223" s="350" t="str">
        <f t="shared" si="4"/>
        <v/>
      </c>
      <c r="N223" s="351" t="str">
        <f t="shared" si="5"/>
        <v/>
      </c>
      <c r="O223" s="346"/>
      <c r="Q223" s="339"/>
      <c r="S223" s="958"/>
    </row>
    <row r="224" spans="1:19" x14ac:dyDescent="0.25">
      <c r="A224" s="339"/>
      <c r="C224" s="346"/>
      <c r="D224" s="1349"/>
      <c r="E224" s="1349"/>
      <c r="F224" s="346"/>
      <c r="G224" s="1349"/>
      <c r="H224" s="1349"/>
      <c r="I224" s="346"/>
      <c r="J224" s="352"/>
      <c r="K224" s="346"/>
      <c r="L224" s="353"/>
      <c r="M224" s="350" t="str">
        <f t="shared" si="4"/>
        <v/>
      </c>
      <c r="N224" s="351" t="str">
        <f t="shared" si="5"/>
        <v/>
      </c>
      <c r="O224" s="346"/>
      <c r="Q224" s="339"/>
      <c r="S224" s="958"/>
    </row>
    <row r="225" spans="1:19" x14ac:dyDescent="0.25">
      <c r="A225" s="339"/>
      <c r="C225" s="346"/>
      <c r="D225" s="1349"/>
      <c r="E225" s="1349"/>
      <c r="F225" s="346"/>
      <c r="G225" s="1349"/>
      <c r="H225" s="1349"/>
      <c r="I225" s="346"/>
      <c r="J225" s="352"/>
      <c r="K225" s="346"/>
      <c r="L225" s="353"/>
      <c r="M225" s="350" t="str">
        <f t="shared" si="4"/>
        <v/>
      </c>
      <c r="N225" s="351" t="str">
        <f t="shared" si="5"/>
        <v/>
      </c>
      <c r="O225" s="346"/>
      <c r="Q225" s="339"/>
      <c r="S225" s="958"/>
    </row>
    <row r="226" spans="1:19" x14ac:dyDescent="0.25">
      <c r="A226" s="339"/>
      <c r="C226" s="346"/>
      <c r="D226" s="1349"/>
      <c r="E226" s="1349"/>
      <c r="F226" s="346"/>
      <c r="G226" s="1349"/>
      <c r="H226" s="1349"/>
      <c r="I226" s="346"/>
      <c r="J226" s="352"/>
      <c r="K226" s="346"/>
      <c r="L226" s="353"/>
      <c r="M226" s="350" t="str">
        <f t="shared" si="4"/>
        <v/>
      </c>
      <c r="N226" s="351" t="str">
        <f t="shared" si="5"/>
        <v/>
      </c>
      <c r="O226" s="346"/>
      <c r="Q226" s="339"/>
      <c r="S226" s="958"/>
    </row>
    <row r="227" spans="1:19" x14ac:dyDescent="0.25">
      <c r="A227" s="339"/>
      <c r="C227" s="346"/>
      <c r="D227" s="1349"/>
      <c r="E227" s="1349"/>
      <c r="F227" s="346"/>
      <c r="G227" s="1349"/>
      <c r="H227" s="1349"/>
      <c r="I227" s="346"/>
      <c r="J227" s="352"/>
      <c r="K227" s="346"/>
      <c r="L227" s="353"/>
      <c r="M227" s="350" t="str">
        <f t="shared" si="4"/>
        <v/>
      </c>
      <c r="N227" s="351" t="str">
        <f t="shared" si="5"/>
        <v/>
      </c>
      <c r="O227" s="346"/>
      <c r="Q227" s="339"/>
      <c r="S227" s="958"/>
    </row>
    <row r="228" spans="1:19" x14ac:dyDescent="0.25">
      <c r="A228" s="339"/>
      <c r="C228" s="346"/>
      <c r="D228" s="1349"/>
      <c r="E228" s="1349"/>
      <c r="F228" s="346"/>
      <c r="G228" s="1349"/>
      <c r="H228" s="1349"/>
      <c r="I228" s="346"/>
      <c r="J228" s="352"/>
      <c r="K228" s="346"/>
      <c r="L228" s="353"/>
      <c r="M228" s="350" t="str">
        <f t="shared" si="4"/>
        <v/>
      </c>
      <c r="N228" s="351" t="str">
        <f t="shared" si="5"/>
        <v/>
      </c>
      <c r="O228" s="346"/>
      <c r="Q228" s="339"/>
      <c r="S228" s="958"/>
    </row>
    <row r="229" spans="1:19" x14ac:dyDescent="0.25">
      <c r="A229" s="339"/>
      <c r="C229" s="346"/>
      <c r="D229" s="1349"/>
      <c r="E229" s="1349"/>
      <c r="F229" s="346"/>
      <c r="G229" s="1349"/>
      <c r="H229" s="1349"/>
      <c r="I229" s="346"/>
      <c r="J229" s="352"/>
      <c r="K229" s="346"/>
      <c r="L229" s="353"/>
      <c r="M229" s="350" t="str">
        <f t="shared" si="4"/>
        <v/>
      </c>
      <c r="N229" s="351" t="str">
        <f t="shared" si="5"/>
        <v/>
      </c>
      <c r="O229" s="346"/>
      <c r="Q229" s="339"/>
      <c r="S229" s="958"/>
    </row>
    <row r="230" spans="1:19" x14ac:dyDescent="0.25">
      <c r="A230" s="339"/>
      <c r="C230" s="346"/>
      <c r="D230" s="1349"/>
      <c r="E230" s="1349"/>
      <c r="F230" s="346"/>
      <c r="G230" s="1349"/>
      <c r="H230" s="1349"/>
      <c r="I230" s="346"/>
      <c r="J230" s="352"/>
      <c r="K230" s="346"/>
      <c r="L230" s="353"/>
      <c r="M230" s="350" t="str">
        <f t="shared" si="4"/>
        <v/>
      </c>
      <c r="N230" s="351" t="str">
        <f t="shared" si="5"/>
        <v/>
      </c>
      <c r="O230" s="346"/>
      <c r="Q230" s="339"/>
      <c r="S230" s="958"/>
    </row>
    <row r="231" spans="1:19" x14ac:dyDescent="0.25">
      <c r="A231" s="339"/>
      <c r="C231" s="346"/>
      <c r="D231" s="1349"/>
      <c r="E231" s="1349"/>
      <c r="F231" s="346"/>
      <c r="G231" s="1349"/>
      <c r="H231" s="1349"/>
      <c r="I231" s="346"/>
      <c r="J231" s="352"/>
      <c r="K231" s="346"/>
      <c r="L231" s="353"/>
      <c r="M231" s="350" t="str">
        <f t="shared" si="4"/>
        <v/>
      </c>
      <c r="N231" s="351" t="str">
        <f t="shared" si="5"/>
        <v/>
      </c>
      <c r="O231" s="346"/>
      <c r="Q231" s="339"/>
      <c r="S231" s="958"/>
    </row>
    <row r="232" spans="1:19" x14ac:dyDescent="0.25">
      <c r="A232" s="339"/>
      <c r="C232" s="346"/>
      <c r="D232" s="1349"/>
      <c r="E232" s="1349"/>
      <c r="F232" s="346"/>
      <c r="G232" s="1349"/>
      <c r="H232" s="1349"/>
      <c r="I232" s="346"/>
      <c r="J232" s="352"/>
      <c r="K232" s="346"/>
      <c r="L232" s="353"/>
      <c r="M232" s="350" t="str">
        <f t="shared" si="4"/>
        <v/>
      </c>
      <c r="N232" s="351" t="str">
        <f t="shared" si="5"/>
        <v/>
      </c>
      <c r="O232" s="346"/>
      <c r="Q232" s="339"/>
      <c r="S232" s="958"/>
    </row>
    <row r="233" spans="1:19" x14ac:dyDescent="0.25">
      <c r="A233" s="339"/>
      <c r="C233" s="346"/>
      <c r="D233" s="1349"/>
      <c r="E233" s="1349"/>
      <c r="F233" s="346"/>
      <c r="G233" s="1349"/>
      <c r="H233" s="1349"/>
      <c r="I233" s="346"/>
      <c r="J233" s="352"/>
      <c r="K233" s="346"/>
      <c r="L233" s="353"/>
      <c r="M233" s="350" t="str">
        <f t="shared" si="4"/>
        <v/>
      </c>
      <c r="N233" s="351" t="str">
        <f t="shared" si="5"/>
        <v/>
      </c>
      <c r="O233" s="346"/>
      <c r="Q233" s="339"/>
      <c r="S233" s="958"/>
    </row>
    <row r="234" spans="1:19" x14ac:dyDescent="0.25">
      <c r="A234" s="339"/>
      <c r="C234" s="346"/>
      <c r="D234" s="1349"/>
      <c r="E234" s="1349"/>
      <c r="F234" s="346"/>
      <c r="G234" s="1349"/>
      <c r="H234" s="1349"/>
      <c r="I234" s="346"/>
      <c r="J234" s="352"/>
      <c r="K234" s="346"/>
      <c r="L234" s="353"/>
      <c r="M234" s="350" t="str">
        <f t="shared" si="4"/>
        <v/>
      </c>
      <c r="N234" s="351" t="str">
        <f t="shared" si="5"/>
        <v/>
      </c>
      <c r="O234" s="346"/>
      <c r="Q234" s="339"/>
      <c r="S234" s="958"/>
    </row>
    <row r="235" spans="1:19" x14ac:dyDescent="0.25">
      <c r="A235" s="339"/>
      <c r="C235" s="346"/>
      <c r="D235" s="1349"/>
      <c r="E235" s="1349"/>
      <c r="F235" s="346"/>
      <c r="G235" s="1349"/>
      <c r="H235" s="1349"/>
      <c r="I235" s="346"/>
      <c r="J235" s="352"/>
      <c r="K235" s="346"/>
      <c r="L235" s="353"/>
      <c r="M235" s="350" t="str">
        <f t="shared" si="4"/>
        <v/>
      </c>
      <c r="N235" s="351" t="str">
        <f t="shared" si="5"/>
        <v/>
      </c>
      <c r="O235" s="346"/>
      <c r="Q235" s="339"/>
      <c r="S235" s="958"/>
    </row>
    <row r="236" spans="1:19" x14ac:dyDescent="0.25">
      <c r="A236" s="339"/>
      <c r="C236" s="346"/>
      <c r="D236" s="1349"/>
      <c r="E236" s="1349"/>
      <c r="F236" s="346"/>
      <c r="G236" s="1349"/>
      <c r="H236" s="1349"/>
      <c r="I236" s="346"/>
      <c r="J236" s="352"/>
      <c r="K236" s="346"/>
      <c r="L236" s="353"/>
      <c r="M236" s="350" t="str">
        <f t="shared" si="4"/>
        <v/>
      </c>
      <c r="N236" s="351" t="str">
        <f t="shared" si="5"/>
        <v/>
      </c>
      <c r="O236" s="346"/>
      <c r="Q236" s="339"/>
      <c r="S236" s="958"/>
    </row>
    <row r="237" spans="1:19" x14ac:dyDescent="0.25">
      <c r="A237" s="339"/>
      <c r="C237" s="346"/>
      <c r="D237" s="1349"/>
      <c r="E237" s="1349"/>
      <c r="F237" s="346"/>
      <c r="G237" s="1349"/>
      <c r="H237" s="1349"/>
      <c r="I237" s="346"/>
      <c r="J237" s="352"/>
      <c r="K237" s="346"/>
      <c r="L237" s="353"/>
      <c r="M237" s="350" t="str">
        <f t="shared" si="4"/>
        <v/>
      </c>
      <c r="N237" s="351" t="str">
        <f t="shared" si="5"/>
        <v/>
      </c>
      <c r="O237" s="346"/>
      <c r="Q237" s="339"/>
      <c r="S237" s="958"/>
    </row>
    <row r="238" spans="1:19" x14ac:dyDescent="0.25">
      <c r="A238" s="339"/>
      <c r="C238" s="346"/>
      <c r="D238" s="1349"/>
      <c r="E238" s="1349"/>
      <c r="F238" s="346"/>
      <c r="G238" s="1349"/>
      <c r="H238" s="1349"/>
      <c r="I238" s="346"/>
      <c r="J238" s="352"/>
      <c r="K238" s="346"/>
      <c r="L238" s="353"/>
      <c r="M238" s="350" t="str">
        <f t="shared" si="4"/>
        <v/>
      </c>
      <c r="N238" s="351" t="str">
        <f t="shared" si="5"/>
        <v/>
      </c>
      <c r="O238" s="346"/>
      <c r="Q238" s="339"/>
      <c r="S238" s="958"/>
    </row>
    <row r="239" spans="1:19" x14ac:dyDescent="0.25">
      <c r="A239" s="339"/>
      <c r="C239" s="346"/>
      <c r="D239" s="1349"/>
      <c r="E239" s="1349"/>
      <c r="F239" s="346"/>
      <c r="G239" s="1349"/>
      <c r="H239" s="1349"/>
      <c r="I239" s="346"/>
      <c r="J239" s="352"/>
      <c r="K239" s="346"/>
      <c r="L239" s="353"/>
      <c r="M239" s="350" t="str">
        <f t="shared" si="4"/>
        <v/>
      </c>
      <c r="N239" s="351" t="str">
        <f t="shared" si="5"/>
        <v/>
      </c>
      <c r="O239" s="346"/>
      <c r="Q239" s="339"/>
      <c r="S239" s="958"/>
    </row>
    <row r="240" spans="1:19" x14ac:dyDescent="0.25">
      <c r="A240" s="339"/>
      <c r="C240" s="346"/>
      <c r="D240" s="1349"/>
      <c r="E240" s="1349"/>
      <c r="F240" s="346"/>
      <c r="G240" s="1349"/>
      <c r="H240" s="1349"/>
      <c r="I240" s="346"/>
      <c r="J240" s="352"/>
      <c r="K240" s="346"/>
      <c r="L240" s="353"/>
      <c r="M240" s="350" t="str">
        <f t="shared" si="4"/>
        <v/>
      </c>
      <c r="N240" s="351" t="str">
        <f t="shared" si="5"/>
        <v/>
      </c>
      <c r="O240" s="346"/>
      <c r="Q240" s="339"/>
      <c r="S240" s="958"/>
    </row>
    <row r="241" spans="1:19" x14ac:dyDescent="0.25">
      <c r="A241" s="339"/>
      <c r="C241" s="346"/>
      <c r="D241" s="1349"/>
      <c r="E241" s="1349"/>
      <c r="F241" s="346"/>
      <c r="G241" s="1349"/>
      <c r="H241" s="1349"/>
      <c r="I241" s="346"/>
      <c r="J241" s="352"/>
      <c r="K241" s="346"/>
      <c r="L241" s="353"/>
      <c r="M241" s="350" t="str">
        <f t="shared" si="4"/>
        <v/>
      </c>
      <c r="N241" s="351" t="str">
        <f t="shared" si="5"/>
        <v/>
      </c>
      <c r="O241" s="346"/>
      <c r="Q241" s="339"/>
      <c r="S241" s="958"/>
    </row>
    <row r="242" spans="1:19" x14ac:dyDescent="0.25">
      <c r="A242" s="339"/>
      <c r="C242" s="346"/>
      <c r="D242" s="1349"/>
      <c r="E242" s="1349"/>
      <c r="F242" s="346"/>
      <c r="G242" s="1349"/>
      <c r="H242" s="1349"/>
      <c r="I242" s="346"/>
      <c r="J242" s="352"/>
      <c r="K242" s="346"/>
      <c r="L242" s="353"/>
      <c r="M242" s="350" t="str">
        <f t="shared" si="4"/>
        <v/>
      </c>
      <c r="N242" s="351" t="str">
        <f t="shared" si="5"/>
        <v/>
      </c>
      <c r="O242" s="346"/>
      <c r="Q242" s="339"/>
      <c r="S242" s="958"/>
    </row>
    <row r="243" spans="1:19" x14ac:dyDescent="0.25">
      <c r="A243" s="339"/>
      <c r="C243" s="346"/>
      <c r="D243" s="1349"/>
      <c r="E243" s="1349"/>
      <c r="F243" s="346"/>
      <c r="G243" s="1349"/>
      <c r="H243" s="1349"/>
      <c r="I243" s="346"/>
      <c r="J243" s="352"/>
      <c r="K243" s="346"/>
      <c r="L243" s="353"/>
      <c r="M243" s="350" t="str">
        <f t="shared" si="4"/>
        <v/>
      </c>
      <c r="N243" s="351" t="str">
        <f t="shared" si="5"/>
        <v/>
      </c>
      <c r="O243" s="346"/>
      <c r="Q243" s="339"/>
      <c r="S243" s="958"/>
    </row>
    <row r="244" spans="1:19" x14ac:dyDescent="0.25">
      <c r="A244" s="339"/>
      <c r="C244" s="346"/>
      <c r="D244" s="1349"/>
      <c r="E244" s="1349"/>
      <c r="F244" s="346"/>
      <c r="G244" s="1349"/>
      <c r="H244" s="1349"/>
      <c r="I244" s="346"/>
      <c r="J244" s="352"/>
      <c r="K244" s="346"/>
      <c r="L244" s="353"/>
      <c r="M244" s="350" t="str">
        <f t="shared" si="4"/>
        <v/>
      </c>
      <c r="N244" s="351" t="str">
        <f t="shared" si="5"/>
        <v/>
      </c>
      <c r="O244" s="346"/>
      <c r="Q244" s="339"/>
      <c r="S244" s="958"/>
    </row>
    <row r="245" spans="1:19" x14ac:dyDescent="0.25">
      <c r="A245" s="339"/>
      <c r="C245" s="346"/>
      <c r="D245" s="1349"/>
      <c r="E245" s="1349"/>
      <c r="F245" s="346"/>
      <c r="G245" s="1349"/>
      <c r="H245" s="1349"/>
      <c r="I245" s="346"/>
      <c r="J245" s="352"/>
      <c r="K245" s="346"/>
      <c r="L245" s="353"/>
      <c r="M245" s="350" t="str">
        <f t="shared" si="4"/>
        <v/>
      </c>
      <c r="N245" s="351" t="str">
        <f t="shared" si="5"/>
        <v/>
      </c>
      <c r="O245" s="346"/>
      <c r="Q245" s="339"/>
      <c r="S245" s="958"/>
    </row>
    <row r="246" spans="1:19" x14ac:dyDescent="0.25">
      <c r="A246" s="339"/>
      <c r="C246" s="346"/>
      <c r="D246" s="1349"/>
      <c r="E246" s="1349"/>
      <c r="F246" s="346"/>
      <c r="G246" s="1349"/>
      <c r="H246" s="1349"/>
      <c r="I246" s="346"/>
      <c r="J246" s="352"/>
      <c r="K246" s="346"/>
      <c r="L246" s="353"/>
      <c r="M246" s="350" t="str">
        <f t="shared" si="4"/>
        <v/>
      </c>
      <c r="N246" s="351" t="str">
        <f t="shared" si="5"/>
        <v/>
      </c>
      <c r="O246" s="346"/>
      <c r="Q246" s="339"/>
      <c r="S246" s="958"/>
    </row>
    <row r="247" spans="1:19" x14ac:dyDescent="0.25">
      <c r="A247" s="339"/>
      <c r="C247" s="346"/>
      <c r="D247" s="1349"/>
      <c r="E247" s="1349"/>
      <c r="F247" s="346"/>
      <c r="G247" s="1349"/>
      <c r="H247" s="1349"/>
      <c r="I247" s="346"/>
      <c r="J247" s="352"/>
      <c r="K247" s="346"/>
      <c r="L247" s="353"/>
      <c r="M247" s="350" t="str">
        <f t="shared" si="4"/>
        <v/>
      </c>
      <c r="N247" s="351" t="str">
        <f t="shared" si="5"/>
        <v/>
      </c>
      <c r="O247" s="346"/>
      <c r="Q247" s="339"/>
      <c r="S247" s="958"/>
    </row>
    <row r="248" spans="1:19" x14ac:dyDescent="0.25">
      <c r="A248" s="339"/>
      <c r="C248" s="346"/>
      <c r="D248" s="1349"/>
      <c r="E248" s="1349"/>
      <c r="F248" s="346"/>
      <c r="G248" s="1349"/>
      <c r="H248" s="1349"/>
      <c r="I248" s="346"/>
      <c r="J248" s="352"/>
      <c r="K248" s="346"/>
      <c r="L248" s="353"/>
      <c r="M248" s="350" t="str">
        <f t="shared" si="4"/>
        <v/>
      </c>
      <c r="N248" s="351" t="str">
        <f t="shared" si="5"/>
        <v/>
      </c>
      <c r="O248" s="346"/>
      <c r="Q248" s="339"/>
      <c r="S248" s="958"/>
    </row>
    <row r="249" spans="1:19" x14ac:dyDescent="0.25">
      <c r="A249" s="339"/>
      <c r="C249" s="346"/>
      <c r="D249" s="1349"/>
      <c r="E249" s="1349"/>
      <c r="F249" s="346"/>
      <c r="G249" s="1349"/>
      <c r="H249" s="1349"/>
      <c r="I249" s="346"/>
      <c r="J249" s="352"/>
      <c r="K249" s="346"/>
      <c r="L249" s="353"/>
      <c r="M249" s="350" t="str">
        <f t="shared" si="4"/>
        <v/>
      </c>
      <c r="N249" s="351" t="str">
        <f t="shared" si="5"/>
        <v/>
      </c>
      <c r="O249" s="346"/>
      <c r="Q249" s="339"/>
      <c r="S249" s="958"/>
    </row>
    <row r="250" spans="1:19" x14ac:dyDescent="0.25">
      <c r="A250" s="339"/>
      <c r="C250" s="346"/>
      <c r="D250" s="1349"/>
      <c r="E250" s="1349"/>
      <c r="F250" s="346"/>
      <c r="G250" s="1349"/>
      <c r="H250" s="1349"/>
      <c r="I250" s="346"/>
      <c r="J250" s="352"/>
      <c r="K250" s="346"/>
      <c r="L250" s="353"/>
      <c r="M250" s="350" t="str">
        <f t="shared" si="4"/>
        <v/>
      </c>
      <c r="N250" s="351" t="str">
        <f t="shared" si="5"/>
        <v/>
      </c>
      <c r="O250" s="346"/>
      <c r="Q250" s="339"/>
      <c r="S250" s="958"/>
    </row>
    <row r="251" spans="1:19" x14ac:dyDescent="0.25">
      <c r="A251" s="339"/>
      <c r="C251" s="346"/>
      <c r="D251" s="1349"/>
      <c r="E251" s="1349"/>
      <c r="F251" s="346"/>
      <c r="G251" s="1349"/>
      <c r="H251" s="1349"/>
      <c r="I251" s="346"/>
      <c r="J251" s="352"/>
      <c r="K251" s="346"/>
      <c r="L251" s="353"/>
      <c r="M251" s="350" t="str">
        <f t="shared" si="4"/>
        <v/>
      </c>
      <c r="N251" s="351" t="str">
        <f t="shared" si="5"/>
        <v/>
      </c>
      <c r="O251" s="346"/>
      <c r="Q251" s="339"/>
      <c r="S251" s="958"/>
    </row>
    <row r="252" spans="1:19" x14ac:dyDescent="0.25">
      <c r="A252" s="339"/>
      <c r="C252" s="346"/>
      <c r="D252" s="1349"/>
      <c r="E252" s="1349"/>
      <c r="F252" s="346"/>
      <c r="G252" s="1349"/>
      <c r="H252" s="1349"/>
      <c r="I252" s="346"/>
      <c r="J252" s="352"/>
      <c r="K252" s="346"/>
      <c r="L252" s="353"/>
      <c r="M252" s="350" t="str">
        <f t="shared" si="4"/>
        <v/>
      </c>
      <c r="N252" s="351" t="str">
        <f t="shared" si="5"/>
        <v/>
      </c>
      <c r="O252" s="346"/>
      <c r="Q252" s="339"/>
      <c r="S252" s="958"/>
    </row>
    <row r="253" spans="1:19" x14ac:dyDescent="0.25">
      <c r="A253" s="339"/>
      <c r="C253" s="346"/>
      <c r="D253" s="1349"/>
      <c r="E253" s="1349"/>
      <c r="F253" s="346"/>
      <c r="G253" s="1349"/>
      <c r="H253" s="1349"/>
      <c r="I253" s="346"/>
      <c r="J253" s="352"/>
      <c r="K253" s="346"/>
      <c r="L253" s="353"/>
      <c r="M253" s="350" t="str">
        <f t="shared" si="4"/>
        <v/>
      </c>
      <c r="N253" s="351" t="str">
        <f t="shared" si="5"/>
        <v/>
      </c>
      <c r="O253" s="346"/>
      <c r="Q253" s="339"/>
      <c r="S253" s="958"/>
    </row>
    <row r="254" spans="1:19" x14ac:dyDescent="0.25">
      <c r="A254" s="339"/>
      <c r="C254" s="346"/>
      <c r="D254" s="1349"/>
      <c r="E254" s="1349"/>
      <c r="F254" s="346"/>
      <c r="G254" s="1349"/>
      <c r="H254" s="1349"/>
      <c r="I254" s="346"/>
      <c r="J254" s="352"/>
      <c r="K254" s="346"/>
      <c r="L254" s="353"/>
      <c r="M254" s="350" t="str">
        <f t="shared" si="4"/>
        <v/>
      </c>
      <c r="N254" s="351" t="str">
        <f t="shared" si="5"/>
        <v/>
      </c>
      <c r="O254" s="346"/>
      <c r="Q254" s="339"/>
      <c r="S254" s="958"/>
    </row>
    <row r="255" spans="1:19" x14ac:dyDescent="0.25">
      <c r="A255" s="339"/>
      <c r="C255" s="346"/>
      <c r="D255" s="1349"/>
      <c r="E255" s="1349"/>
      <c r="F255" s="346"/>
      <c r="G255" s="1349"/>
      <c r="H255" s="1349"/>
      <c r="I255" s="346"/>
      <c r="J255" s="352"/>
      <c r="K255" s="346"/>
      <c r="L255" s="353"/>
      <c r="M255" s="350" t="str">
        <f t="shared" si="4"/>
        <v/>
      </c>
      <c r="N255" s="351" t="str">
        <f t="shared" si="5"/>
        <v/>
      </c>
      <c r="O255" s="346"/>
      <c r="Q255" s="339"/>
      <c r="S255" s="958"/>
    </row>
    <row r="256" spans="1:19" x14ac:dyDescent="0.25">
      <c r="A256" s="339"/>
      <c r="C256" s="346"/>
      <c r="D256" s="1349"/>
      <c r="E256" s="1349"/>
      <c r="F256" s="346"/>
      <c r="G256" s="1349"/>
      <c r="H256" s="1349"/>
      <c r="I256" s="346"/>
      <c r="J256" s="352"/>
      <c r="K256" s="346"/>
      <c r="L256" s="353"/>
      <c r="M256" s="350" t="str">
        <f t="shared" si="4"/>
        <v/>
      </c>
      <c r="N256" s="351" t="str">
        <f t="shared" si="5"/>
        <v/>
      </c>
      <c r="O256" s="346"/>
      <c r="Q256" s="339"/>
      <c r="S256" s="958"/>
    </row>
    <row r="257" spans="1:19" x14ac:dyDescent="0.25">
      <c r="A257" s="339"/>
      <c r="C257" s="346"/>
      <c r="D257" s="1349"/>
      <c r="E257" s="1349"/>
      <c r="F257" s="346"/>
      <c r="G257" s="1349"/>
      <c r="H257" s="1349"/>
      <c r="I257" s="346"/>
      <c r="J257" s="352"/>
      <c r="K257" s="346"/>
      <c r="L257" s="353"/>
      <c r="M257" s="350" t="str">
        <f t="shared" si="4"/>
        <v/>
      </c>
      <c r="N257" s="351" t="str">
        <f t="shared" si="5"/>
        <v/>
      </c>
      <c r="O257" s="346"/>
      <c r="Q257" s="339"/>
      <c r="S257" s="958"/>
    </row>
    <row r="258" spans="1:19" x14ac:dyDescent="0.25">
      <c r="A258" s="339"/>
      <c r="C258" s="346"/>
      <c r="D258" s="1349"/>
      <c r="E258" s="1349"/>
      <c r="F258" s="346"/>
      <c r="G258" s="1349"/>
      <c r="H258" s="1349"/>
      <c r="I258" s="346"/>
      <c r="J258" s="352"/>
      <c r="K258" s="346"/>
      <c r="L258" s="353"/>
      <c r="M258" s="350" t="str">
        <f t="shared" si="4"/>
        <v/>
      </c>
      <c r="N258" s="351" t="str">
        <f t="shared" si="5"/>
        <v/>
      </c>
      <c r="O258" s="346"/>
      <c r="Q258" s="339"/>
      <c r="S258" s="958"/>
    </row>
    <row r="259" spans="1:19" x14ac:dyDescent="0.25">
      <c r="A259" s="339"/>
      <c r="C259" s="346"/>
      <c r="D259" s="1349"/>
      <c r="E259" s="1349"/>
      <c r="F259" s="346"/>
      <c r="G259" s="1349"/>
      <c r="H259" s="1349"/>
      <c r="I259" s="346"/>
      <c r="J259" s="352"/>
      <c r="K259" s="346"/>
      <c r="L259" s="353"/>
      <c r="M259" s="350" t="str">
        <f t="shared" si="4"/>
        <v/>
      </c>
      <c r="N259" s="351" t="str">
        <f t="shared" si="5"/>
        <v/>
      </c>
      <c r="O259" s="346"/>
      <c r="Q259" s="339"/>
      <c r="S259" s="958"/>
    </row>
    <row r="260" spans="1:19" x14ac:dyDescent="0.25">
      <c r="A260" s="339"/>
      <c r="C260" s="346"/>
      <c r="D260" s="1349"/>
      <c r="E260" s="1349"/>
      <c r="F260" s="346"/>
      <c r="G260" s="1349"/>
      <c r="H260" s="1349"/>
      <c r="I260" s="346"/>
      <c r="J260" s="352"/>
      <c r="K260" s="346"/>
      <c r="L260" s="353"/>
      <c r="M260" s="350" t="str">
        <f t="shared" si="4"/>
        <v/>
      </c>
      <c r="N260" s="351" t="str">
        <f t="shared" si="5"/>
        <v/>
      </c>
      <c r="O260" s="346"/>
      <c r="Q260" s="339"/>
      <c r="S260" s="958"/>
    </row>
    <row r="261" spans="1:19" x14ac:dyDescent="0.25">
      <c r="A261" s="339"/>
      <c r="C261" s="346"/>
      <c r="D261" s="1349"/>
      <c r="E261" s="1349"/>
      <c r="F261" s="346"/>
      <c r="G261" s="1349"/>
      <c r="H261" s="1349"/>
      <c r="I261" s="346"/>
      <c r="J261" s="352"/>
      <c r="K261" s="346"/>
      <c r="L261" s="353"/>
      <c r="M261" s="350" t="str">
        <f t="shared" si="4"/>
        <v/>
      </c>
      <c r="N261" s="351" t="str">
        <f t="shared" si="5"/>
        <v/>
      </c>
      <c r="O261" s="346"/>
      <c r="Q261" s="339"/>
      <c r="S261" s="958"/>
    </row>
    <row r="262" spans="1:19" x14ac:dyDescent="0.25">
      <c r="A262" s="339"/>
      <c r="C262" s="346"/>
      <c r="D262" s="1349"/>
      <c r="E262" s="1349"/>
      <c r="F262" s="346"/>
      <c r="G262" s="1349"/>
      <c r="H262" s="1349"/>
      <c r="I262" s="346"/>
      <c r="J262" s="352"/>
      <c r="K262" s="346"/>
      <c r="L262" s="353"/>
      <c r="M262" s="350" t="str">
        <f t="shared" ref="M262:M325" si="6">IF(K262="","", INDEX(CNTR_EFListSelected,MATCH(K262,CORSIA_FuelsList,0)))</f>
        <v/>
      </c>
      <c r="N262" s="351" t="str">
        <f t="shared" si="5"/>
        <v/>
      </c>
      <c r="O262" s="346"/>
      <c r="Q262" s="339"/>
      <c r="S262" s="958"/>
    </row>
    <row r="263" spans="1:19" x14ac:dyDescent="0.25">
      <c r="A263" s="339"/>
      <c r="C263" s="346"/>
      <c r="D263" s="1349"/>
      <c r="E263" s="1349"/>
      <c r="F263" s="346"/>
      <c r="G263" s="1349"/>
      <c r="H263" s="1349"/>
      <c r="I263" s="346"/>
      <c r="J263" s="352"/>
      <c r="K263" s="346"/>
      <c r="L263" s="353"/>
      <c r="M263" s="350" t="str">
        <f t="shared" si="6"/>
        <v/>
      </c>
      <c r="N263" s="351" t="str">
        <f t="shared" ref="N263:N326" si="7">IF(COUNT(L263:M263)=2,L263*M263,"")</f>
        <v/>
      </c>
      <c r="O263" s="346"/>
      <c r="Q263" s="339"/>
      <c r="S263" s="958"/>
    </row>
    <row r="264" spans="1:19" x14ac:dyDescent="0.25">
      <c r="A264" s="339"/>
      <c r="C264" s="346"/>
      <c r="D264" s="1349"/>
      <c r="E264" s="1349"/>
      <c r="F264" s="346"/>
      <c r="G264" s="1349"/>
      <c r="H264" s="1349"/>
      <c r="I264" s="346"/>
      <c r="J264" s="352"/>
      <c r="K264" s="346"/>
      <c r="L264" s="353"/>
      <c r="M264" s="350" t="str">
        <f t="shared" si="6"/>
        <v/>
      </c>
      <c r="N264" s="351" t="str">
        <f t="shared" si="7"/>
        <v/>
      </c>
      <c r="O264" s="346"/>
      <c r="Q264" s="339"/>
      <c r="S264" s="958"/>
    </row>
    <row r="265" spans="1:19" x14ac:dyDescent="0.25">
      <c r="A265" s="339"/>
      <c r="C265" s="346"/>
      <c r="D265" s="1349"/>
      <c r="E265" s="1349"/>
      <c r="F265" s="346"/>
      <c r="G265" s="1349"/>
      <c r="H265" s="1349"/>
      <c r="I265" s="346"/>
      <c r="J265" s="352"/>
      <c r="K265" s="346"/>
      <c r="L265" s="353"/>
      <c r="M265" s="350" t="str">
        <f t="shared" si="6"/>
        <v/>
      </c>
      <c r="N265" s="351" t="str">
        <f t="shared" si="7"/>
        <v/>
      </c>
      <c r="O265" s="346"/>
      <c r="Q265" s="339"/>
      <c r="S265" s="958"/>
    </row>
    <row r="266" spans="1:19" x14ac:dyDescent="0.25">
      <c r="A266" s="339"/>
      <c r="C266" s="346"/>
      <c r="D266" s="1349"/>
      <c r="E266" s="1349"/>
      <c r="F266" s="346"/>
      <c r="G266" s="1349"/>
      <c r="H266" s="1349"/>
      <c r="I266" s="346"/>
      <c r="J266" s="352"/>
      <c r="K266" s="346"/>
      <c r="L266" s="353"/>
      <c r="M266" s="350" t="str">
        <f t="shared" si="6"/>
        <v/>
      </c>
      <c r="N266" s="351" t="str">
        <f t="shared" si="7"/>
        <v/>
      </c>
      <c r="O266" s="346"/>
      <c r="Q266" s="339"/>
      <c r="S266" s="958"/>
    </row>
    <row r="267" spans="1:19" x14ac:dyDescent="0.25">
      <c r="A267" s="339"/>
      <c r="C267" s="346"/>
      <c r="D267" s="1349"/>
      <c r="E267" s="1349"/>
      <c r="F267" s="346"/>
      <c r="G267" s="1349"/>
      <c r="H267" s="1349"/>
      <c r="I267" s="346"/>
      <c r="J267" s="352"/>
      <c r="K267" s="346"/>
      <c r="L267" s="353"/>
      <c r="M267" s="350" t="str">
        <f t="shared" si="6"/>
        <v/>
      </c>
      <c r="N267" s="351" t="str">
        <f t="shared" si="7"/>
        <v/>
      </c>
      <c r="O267" s="346"/>
      <c r="Q267" s="339"/>
      <c r="S267" s="958"/>
    </row>
    <row r="268" spans="1:19" x14ac:dyDescent="0.25">
      <c r="A268" s="339"/>
      <c r="C268" s="346"/>
      <c r="D268" s="1349"/>
      <c r="E268" s="1349"/>
      <c r="F268" s="346"/>
      <c r="G268" s="1349"/>
      <c r="H268" s="1349"/>
      <c r="I268" s="346"/>
      <c r="J268" s="352"/>
      <c r="K268" s="346"/>
      <c r="L268" s="353"/>
      <c r="M268" s="350" t="str">
        <f t="shared" si="6"/>
        <v/>
      </c>
      <c r="N268" s="351" t="str">
        <f t="shared" si="7"/>
        <v/>
      </c>
      <c r="O268" s="346"/>
      <c r="Q268" s="339"/>
      <c r="S268" s="958"/>
    </row>
    <row r="269" spans="1:19" x14ac:dyDescent="0.25">
      <c r="A269" s="339"/>
      <c r="C269" s="346"/>
      <c r="D269" s="1349"/>
      <c r="E269" s="1349"/>
      <c r="F269" s="346"/>
      <c r="G269" s="1349"/>
      <c r="H269" s="1349"/>
      <c r="I269" s="346"/>
      <c r="J269" s="352"/>
      <c r="K269" s="346"/>
      <c r="L269" s="353"/>
      <c r="M269" s="350" t="str">
        <f t="shared" si="6"/>
        <v/>
      </c>
      <c r="N269" s="351" t="str">
        <f t="shared" si="7"/>
        <v/>
      </c>
      <c r="O269" s="346"/>
      <c r="Q269" s="339"/>
      <c r="S269" s="958"/>
    </row>
    <row r="270" spans="1:19" x14ac:dyDescent="0.25">
      <c r="A270" s="339"/>
      <c r="C270" s="346"/>
      <c r="D270" s="1349"/>
      <c r="E270" s="1349"/>
      <c r="F270" s="346"/>
      <c r="G270" s="1349"/>
      <c r="H270" s="1349"/>
      <c r="I270" s="346"/>
      <c r="J270" s="352"/>
      <c r="K270" s="346"/>
      <c r="L270" s="353"/>
      <c r="M270" s="350" t="str">
        <f t="shared" si="6"/>
        <v/>
      </c>
      <c r="N270" s="351" t="str">
        <f t="shared" si="7"/>
        <v/>
      </c>
      <c r="O270" s="346"/>
      <c r="Q270" s="339"/>
      <c r="S270" s="958"/>
    </row>
    <row r="271" spans="1:19" x14ac:dyDescent="0.25">
      <c r="A271" s="339"/>
      <c r="C271" s="346"/>
      <c r="D271" s="1349"/>
      <c r="E271" s="1349"/>
      <c r="F271" s="346"/>
      <c r="G271" s="1349"/>
      <c r="H271" s="1349"/>
      <c r="I271" s="346"/>
      <c r="J271" s="352"/>
      <c r="K271" s="346"/>
      <c r="L271" s="353"/>
      <c r="M271" s="350" t="str">
        <f t="shared" si="6"/>
        <v/>
      </c>
      <c r="N271" s="351" t="str">
        <f t="shared" si="7"/>
        <v/>
      </c>
      <c r="O271" s="346"/>
      <c r="Q271" s="339"/>
      <c r="S271" s="958"/>
    </row>
    <row r="272" spans="1:19" x14ac:dyDescent="0.25">
      <c r="A272" s="339"/>
      <c r="C272" s="346"/>
      <c r="D272" s="1349"/>
      <c r="E272" s="1349"/>
      <c r="F272" s="346"/>
      <c r="G272" s="1349"/>
      <c r="H272" s="1349"/>
      <c r="I272" s="346"/>
      <c r="J272" s="352"/>
      <c r="K272" s="346"/>
      <c r="L272" s="353"/>
      <c r="M272" s="350" t="str">
        <f t="shared" si="6"/>
        <v/>
      </c>
      <c r="N272" s="351" t="str">
        <f t="shared" si="7"/>
        <v/>
      </c>
      <c r="O272" s="346"/>
      <c r="Q272" s="339"/>
      <c r="S272" s="958"/>
    </row>
    <row r="273" spans="1:19" x14ac:dyDescent="0.25">
      <c r="A273" s="339"/>
      <c r="C273" s="346"/>
      <c r="D273" s="1349"/>
      <c r="E273" s="1349"/>
      <c r="F273" s="346"/>
      <c r="G273" s="1349"/>
      <c r="H273" s="1349"/>
      <c r="I273" s="346"/>
      <c r="J273" s="352"/>
      <c r="K273" s="346"/>
      <c r="L273" s="353"/>
      <c r="M273" s="350" t="str">
        <f t="shared" si="6"/>
        <v/>
      </c>
      <c r="N273" s="351" t="str">
        <f t="shared" si="7"/>
        <v/>
      </c>
      <c r="O273" s="346"/>
      <c r="Q273" s="339"/>
      <c r="S273" s="958"/>
    </row>
    <row r="274" spans="1:19" x14ac:dyDescent="0.25">
      <c r="A274" s="339"/>
      <c r="C274" s="346"/>
      <c r="D274" s="1349"/>
      <c r="E274" s="1349"/>
      <c r="F274" s="346"/>
      <c r="G274" s="1349"/>
      <c r="H274" s="1349"/>
      <c r="I274" s="346"/>
      <c r="J274" s="352"/>
      <c r="K274" s="346"/>
      <c r="L274" s="353"/>
      <c r="M274" s="350" t="str">
        <f t="shared" si="6"/>
        <v/>
      </c>
      <c r="N274" s="351" t="str">
        <f t="shared" si="7"/>
        <v/>
      </c>
      <c r="O274" s="346"/>
      <c r="Q274" s="339"/>
      <c r="S274" s="958"/>
    </row>
    <row r="275" spans="1:19" x14ac:dyDescent="0.25">
      <c r="A275" s="339"/>
      <c r="C275" s="346"/>
      <c r="D275" s="1349"/>
      <c r="E275" s="1349"/>
      <c r="F275" s="346"/>
      <c r="G275" s="1349"/>
      <c r="H275" s="1349"/>
      <c r="I275" s="346"/>
      <c r="J275" s="352"/>
      <c r="K275" s="346"/>
      <c r="L275" s="353"/>
      <c r="M275" s="350" t="str">
        <f t="shared" si="6"/>
        <v/>
      </c>
      <c r="N275" s="351" t="str">
        <f t="shared" si="7"/>
        <v/>
      </c>
      <c r="O275" s="346"/>
      <c r="Q275" s="339"/>
      <c r="S275" s="958"/>
    </row>
    <row r="276" spans="1:19" x14ac:dyDescent="0.25">
      <c r="A276" s="339"/>
      <c r="C276" s="346"/>
      <c r="D276" s="1349"/>
      <c r="E276" s="1349"/>
      <c r="F276" s="346"/>
      <c r="G276" s="1349"/>
      <c r="H276" s="1349"/>
      <c r="I276" s="346"/>
      <c r="J276" s="352"/>
      <c r="K276" s="346"/>
      <c r="L276" s="353"/>
      <c r="M276" s="350" t="str">
        <f t="shared" si="6"/>
        <v/>
      </c>
      <c r="N276" s="351" t="str">
        <f t="shared" si="7"/>
        <v/>
      </c>
      <c r="O276" s="346"/>
      <c r="Q276" s="339"/>
      <c r="S276" s="958"/>
    </row>
    <row r="277" spans="1:19" x14ac:dyDescent="0.25">
      <c r="A277" s="339"/>
      <c r="C277" s="346"/>
      <c r="D277" s="1349"/>
      <c r="E277" s="1349"/>
      <c r="F277" s="346"/>
      <c r="G277" s="1349"/>
      <c r="H277" s="1349"/>
      <c r="I277" s="346"/>
      <c r="J277" s="352"/>
      <c r="K277" s="346"/>
      <c r="L277" s="353"/>
      <c r="M277" s="350" t="str">
        <f t="shared" si="6"/>
        <v/>
      </c>
      <c r="N277" s="351" t="str">
        <f t="shared" si="7"/>
        <v/>
      </c>
      <c r="O277" s="346"/>
      <c r="Q277" s="339"/>
      <c r="S277" s="958"/>
    </row>
    <row r="278" spans="1:19" x14ac:dyDescent="0.25">
      <c r="A278" s="339"/>
      <c r="C278" s="346"/>
      <c r="D278" s="1349"/>
      <c r="E278" s="1349"/>
      <c r="F278" s="346"/>
      <c r="G278" s="1349"/>
      <c r="H278" s="1349"/>
      <c r="I278" s="346"/>
      <c r="J278" s="352"/>
      <c r="K278" s="346"/>
      <c r="L278" s="353"/>
      <c r="M278" s="350" t="str">
        <f t="shared" si="6"/>
        <v/>
      </c>
      <c r="N278" s="351" t="str">
        <f t="shared" si="7"/>
        <v/>
      </c>
      <c r="O278" s="346"/>
      <c r="Q278" s="339"/>
      <c r="S278" s="958"/>
    </row>
    <row r="279" spans="1:19" x14ac:dyDescent="0.25">
      <c r="A279" s="339"/>
      <c r="C279" s="346"/>
      <c r="D279" s="1349"/>
      <c r="E279" s="1349"/>
      <c r="F279" s="346"/>
      <c r="G279" s="1349"/>
      <c r="H279" s="1349"/>
      <c r="I279" s="346"/>
      <c r="J279" s="352"/>
      <c r="K279" s="346"/>
      <c r="L279" s="353"/>
      <c r="M279" s="350" t="str">
        <f t="shared" si="6"/>
        <v/>
      </c>
      <c r="N279" s="351" t="str">
        <f t="shared" si="7"/>
        <v/>
      </c>
      <c r="O279" s="346"/>
      <c r="Q279" s="339"/>
      <c r="S279" s="958"/>
    </row>
    <row r="280" spans="1:19" x14ac:dyDescent="0.25">
      <c r="A280" s="339"/>
      <c r="C280" s="346"/>
      <c r="D280" s="1349"/>
      <c r="E280" s="1349"/>
      <c r="F280" s="346"/>
      <c r="G280" s="1349"/>
      <c r="H280" s="1349"/>
      <c r="I280" s="346"/>
      <c r="J280" s="352"/>
      <c r="K280" s="346"/>
      <c r="L280" s="353"/>
      <c r="M280" s="350" t="str">
        <f t="shared" si="6"/>
        <v/>
      </c>
      <c r="N280" s="351" t="str">
        <f t="shared" si="7"/>
        <v/>
      </c>
      <c r="O280" s="346"/>
      <c r="Q280" s="339"/>
      <c r="S280" s="958"/>
    </row>
    <row r="281" spans="1:19" x14ac:dyDescent="0.25">
      <c r="A281" s="339"/>
      <c r="C281" s="346"/>
      <c r="D281" s="1349"/>
      <c r="E281" s="1349"/>
      <c r="F281" s="346"/>
      <c r="G281" s="1349"/>
      <c r="H281" s="1349"/>
      <c r="I281" s="346"/>
      <c r="J281" s="352"/>
      <c r="K281" s="346"/>
      <c r="L281" s="353"/>
      <c r="M281" s="350" t="str">
        <f t="shared" si="6"/>
        <v/>
      </c>
      <c r="N281" s="351" t="str">
        <f t="shared" si="7"/>
        <v/>
      </c>
      <c r="O281" s="346"/>
      <c r="Q281" s="339"/>
      <c r="S281" s="958"/>
    </row>
    <row r="282" spans="1:19" x14ac:dyDescent="0.25">
      <c r="A282" s="339"/>
      <c r="C282" s="346"/>
      <c r="D282" s="1349"/>
      <c r="E282" s="1349"/>
      <c r="F282" s="346"/>
      <c r="G282" s="1349"/>
      <c r="H282" s="1349"/>
      <c r="I282" s="346"/>
      <c r="J282" s="352"/>
      <c r="K282" s="346"/>
      <c r="L282" s="353"/>
      <c r="M282" s="350" t="str">
        <f t="shared" si="6"/>
        <v/>
      </c>
      <c r="N282" s="351" t="str">
        <f t="shared" si="7"/>
        <v/>
      </c>
      <c r="O282" s="346"/>
      <c r="Q282" s="339"/>
      <c r="S282" s="958"/>
    </row>
    <row r="283" spans="1:19" x14ac:dyDescent="0.25">
      <c r="A283" s="339"/>
      <c r="C283" s="346"/>
      <c r="D283" s="1349"/>
      <c r="E283" s="1349"/>
      <c r="F283" s="346"/>
      <c r="G283" s="1349"/>
      <c r="H283" s="1349"/>
      <c r="I283" s="346"/>
      <c r="J283" s="352"/>
      <c r="K283" s="346"/>
      <c r="L283" s="353"/>
      <c r="M283" s="350" t="str">
        <f t="shared" si="6"/>
        <v/>
      </c>
      <c r="N283" s="351" t="str">
        <f t="shared" si="7"/>
        <v/>
      </c>
      <c r="O283" s="346"/>
      <c r="Q283" s="339"/>
      <c r="S283" s="958"/>
    </row>
    <row r="284" spans="1:19" x14ac:dyDescent="0.25">
      <c r="A284" s="339"/>
      <c r="C284" s="346"/>
      <c r="D284" s="1349"/>
      <c r="E284" s="1349"/>
      <c r="F284" s="346"/>
      <c r="G284" s="1349"/>
      <c r="H284" s="1349"/>
      <c r="I284" s="346"/>
      <c r="J284" s="352"/>
      <c r="K284" s="346"/>
      <c r="L284" s="353"/>
      <c r="M284" s="350" t="str">
        <f t="shared" si="6"/>
        <v/>
      </c>
      <c r="N284" s="351" t="str">
        <f t="shared" si="7"/>
        <v/>
      </c>
      <c r="O284" s="346"/>
      <c r="Q284" s="339"/>
      <c r="S284" s="958"/>
    </row>
    <row r="285" spans="1:19" x14ac:dyDescent="0.25">
      <c r="A285" s="339"/>
      <c r="C285" s="346"/>
      <c r="D285" s="1349"/>
      <c r="E285" s="1349"/>
      <c r="F285" s="346"/>
      <c r="G285" s="1349"/>
      <c r="H285" s="1349"/>
      <c r="I285" s="346"/>
      <c r="J285" s="352"/>
      <c r="K285" s="346"/>
      <c r="L285" s="353"/>
      <c r="M285" s="350" t="str">
        <f t="shared" si="6"/>
        <v/>
      </c>
      <c r="N285" s="351" t="str">
        <f t="shared" si="7"/>
        <v/>
      </c>
      <c r="O285" s="346"/>
      <c r="Q285" s="339"/>
      <c r="S285" s="958"/>
    </row>
    <row r="286" spans="1:19" x14ac:dyDescent="0.25">
      <c r="A286" s="339"/>
      <c r="C286" s="346"/>
      <c r="D286" s="1349"/>
      <c r="E286" s="1349"/>
      <c r="F286" s="346"/>
      <c r="G286" s="1349"/>
      <c r="H286" s="1349"/>
      <c r="I286" s="346"/>
      <c r="J286" s="352"/>
      <c r="K286" s="346"/>
      <c r="L286" s="353"/>
      <c r="M286" s="350" t="str">
        <f t="shared" si="6"/>
        <v/>
      </c>
      <c r="N286" s="351" t="str">
        <f t="shared" si="7"/>
        <v/>
      </c>
      <c r="O286" s="346"/>
      <c r="Q286" s="339"/>
      <c r="S286" s="958"/>
    </row>
    <row r="287" spans="1:19" x14ac:dyDescent="0.25">
      <c r="A287" s="339"/>
      <c r="C287" s="346"/>
      <c r="D287" s="1349"/>
      <c r="E287" s="1349"/>
      <c r="F287" s="346"/>
      <c r="G287" s="1349"/>
      <c r="H287" s="1349"/>
      <c r="I287" s="346"/>
      <c r="J287" s="352"/>
      <c r="K287" s="346"/>
      <c r="L287" s="353"/>
      <c r="M287" s="350" t="str">
        <f t="shared" si="6"/>
        <v/>
      </c>
      <c r="N287" s="351" t="str">
        <f t="shared" si="7"/>
        <v/>
      </c>
      <c r="O287" s="346"/>
      <c r="Q287" s="339"/>
      <c r="S287" s="958"/>
    </row>
    <row r="288" spans="1:19" x14ac:dyDescent="0.25">
      <c r="A288" s="339"/>
      <c r="C288" s="346"/>
      <c r="D288" s="1349"/>
      <c r="E288" s="1349"/>
      <c r="F288" s="346"/>
      <c r="G288" s="1349"/>
      <c r="H288" s="1349"/>
      <c r="I288" s="346"/>
      <c r="J288" s="352"/>
      <c r="K288" s="346"/>
      <c r="L288" s="353"/>
      <c r="M288" s="350" t="str">
        <f t="shared" si="6"/>
        <v/>
      </c>
      <c r="N288" s="351" t="str">
        <f t="shared" si="7"/>
        <v/>
      </c>
      <c r="O288" s="346"/>
      <c r="Q288" s="339"/>
      <c r="S288" s="958"/>
    </row>
    <row r="289" spans="1:19" x14ac:dyDescent="0.25">
      <c r="A289" s="339"/>
      <c r="C289" s="346"/>
      <c r="D289" s="1349"/>
      <c r="E289" s="1349"/>
      <c r="F289" s="346"/>
      <c r="G289" s="1349"/>
      <c r="H289" s="1349"/>
      <c r="I289" s="346"/>
      <c r="J289" s="352"/>
      <c r="K289" s="346"/>
      <c r="L289" s="353"/>
      <c r="M289" s="350" t="str">
        <f t="shared" si="6"/>
        <v/>
      </c>
      <c r="N289" s="351" t="str">
        <f t="shared" si="7"/>
        <v/>
      </c>
      <c r="O289" s="346"/>
      <c r="Q289" s="339"/>
      <c r="S289" s="958"/>
    </row>
    <row r="290" spans="1:19" x14ac:dyDescent="0.25">
      <c r="A290" s="339"/>
      <c r="C290" s="346"/>
      <c r="D290" s="1349"/>
      <c r="E290" s="1349"/>
      <c r="F290" s="346"/>
      <c r="G290" s="1349"/>
      <c r="H290" s="1349"/>
      <c r="I290" s="346"/>
      <c r="J290" s="352"/>
      <c r="K290" s="346"/>
      <c r="L290" s="353"/>
      <c r="M290" s="350" t="str">
        <f t="shared" si="6"/>
        <v/>
      </c>
      <c r="N290" s="351" t="str">
        <f t="shared" si="7"/>
        <v/>
      </c>
      <c r="O290" s="346"/>
      <c r="Q290" s="339"/>
      <c r="S290" s="958"/>
    </row>
    <row r="291" spans="1:19" x14ac:dyDescent="0.25">
      <c r="A291" s="339"/>
      <c r="C291" s="346"/>
      <c r="D291" s="1349"/>
      <c r="E291" s="1349"/>
      <c r="F291" s="346"/>
      <c r="G291" s="1349"/>
      <c r="H291" s="1349"/>
      <c r="I291" s="346"/>
      <c r="J291" s="352"/>
      <c r="K291" s="346"/>
      <c r="L291" s="353"/>
      <c r="M291" s="350" t="str">
        <f t="shared" si="6"/>
        <v/>
      </c>
      <c r="N291" s="351" t="str">
        <f t="shared" si="7"/>
        <v/>
      </c>
      <c r="O291" s="346"/>
      <c r="Q291" s="339"/>
      <c r="S291" s="958"/>
    </row>
    <row r="292" spans="1:19" x14ac:dyDescent="0.25">
      <c r="A292" s="339"/>
      <c r="C292" s="346"/>
      <c r="D292" s="1349"/>
      <c r="E292" s="1349"/>
      <c r="F292" s="346"/>
      <c r="G292" s="1349"/>
      <c r="H292" s="1349"/>
      <c r="I292" s="346"/>
      <c r="J292" s="352"/>
      <c r="K292" s="346"/>
      <c r="L292" s="353"/>
      <c r="M292" s="350" t="str">
        <f t="shared" si="6"/>
        <v/>
      </c>
      <c r="N292" s="351" t="str">
        <f t="shared" si="7"/>
        <v/>
      </c>
      <c r="O292" s="346"/>
      <c r="Q292" s="339"/>
      <c r="S292" s="958"/>
    </row>
    <row r="293" spans="1:19" x14ac:dyDescent="0.25">
      <c r="A293" s="339"/>
      <c r="C293" s="346"/>
      <c r="D293" s="1349"/>
      <c r="E293" s="1349"/>
      <c r="F293" s="346"/>
      <c r="G293" s="1349"/>
      <c r="H293" s="1349"/>
      <c r="I293" s="346"/>
      <c r="J293" s="352"/>
      <c r="K293" s="346"/>
      <c r="L293" s="353"/>
      <c r="M293" s="350" t="str">
        <f t="shared" si="6"/>
        <v/>
      </c>
      <c r="N293" s="351" t="str">
        <f t="shared" si="7"/>
        <v/>
      </c>
      <c r="O293" s="346"/>
      <c r="Q293" s="339"/>
      <c r="S293" s="958"/>
    </row>
    <row r="294" spans="1:19" x14ac:dyDescent="0.25">
      <c r="A294" s="339"/>
      <c r="C294" s="346"/>
      <c r="D294" s="1349"/>
      <c r="E294" s="1349"/>
      <c r="F294" s="346"/>
      <c r="G294" s="1349"/>
      <c r="H294" s="1349"/>
      <c r="I294" s="346"/>
      <c r="J294" s="352"/>
      <c r="K294" s="346"/>
      <c r="L294" s="353"/>
      <c r="M294" s="350" t="str">
        <f t="shared" si="6"/>
        <v/>
      </c>
      <c r="N294" s="351" t="str">
        <f t="shared" si="7"/>
        <v/>
      </c>
      <c r="O294" s="346"/>
      <c r="Q294" s="339"/>
      <c r="S294" s="958"/>
    </row>
    <row r="295" spans="1:19" x14ac:dyDescent="0.25">
      <c r="A295" s="339"/>
      <c r="C295" s="346"/>
      <c r="D295" s="1349"/>
      <c r="E295" s="1349"/>
      <c r="F295" s="346"/>
      <c r="G295" s="1349"/>
      <c r="H295" s="1349"/>
      <c r="I295" s="346"/>
      <c r="J295" s="352"/>
      <c r="K295" s="346"/>
      <c r="L295" s="353"/>
      <c r="M295" s="350" t="str">
        <f t="shared" si="6"/>
        <v/>
      </c>
      <c r="N295" s="351" t="str">
        <f t="shared" si="7"/>
        <v/>
      </c>
      <c r="O295" s="346"/>
      <c r="Q295" s="339"/>
      <c r="S295" s="958"/>
    </row>
    <row r="296" spans="1:19" x14ac:dyDescent="0.25">
      <c r="A296" s="339"/>
      <c r="C296" s="346"/>
      <c r="D296" s="1349"/>
      <c r="E296" s="1349"/>
      <c r="F296" s="346"/>
      <c r="G296" s="1349"/>
      <c r="H296" s="1349"/>
      <c r="I296" s="346"/>
      <c r="J296" s="352"/>
      <c r="K296" s="346"/>
      <c r="L296" s="353"/>
      <c r="M296" s="350" t="str">
        <f t="shared" si="6"/>
        <v/>
      </c>
      <c r="N296" s="351" t="str">
        <f t="shared" si="7"/>
        <v/>
      </c>
      <c r="O296" s="346"/>
      <c r="Q296" s="339"/>
      <c r="S296" s="958"/>
    </row>
    <row r="297" spans="1:19" x14ac:dyDescent="0.25">
      <c r="A297" s="339"/>
      <c r="C297" s="346"/>
      <c r="D297" s="1349"/>
      <c r="E297" s="1349"/>
      <c r="F297" s="346"/>
      <c r="G297" s="1349"/>
      <c r="H297" s="1349"/>
      <c r="I297" s="346"/>
      <c r="J297" s="352"/>
      <c r="K297" s="346"/>
      <c r="L297" s="353"/>
      <c r="M297" s="350" t="str">
        <f t="shared" si="6"/>
        <v/>
      </c>
      <c r="N297" s="351" t="str">
        <f t="shared" si="7"/>
        <v/>
      </c>
      <c r="O297" s="346"/>
      <c r="Q297" s="339"/>
      <c r="S297" s="958"/>
    </row>
    <row r="298" spans="1:19" x14ac:dyDescent="0.25">
      <c r="A298" s="339"/>
      <c r="C298" s="346"/>
      <c r="D298" s="1349"/>
      <c r="E298" s="1349"/>
      <c r="F298" s="346"/>
      <c r="G298" s="1349"/>
      <c r="H298" s="1349"/>
      <c r="I298" s="346"/>
      <c r="J298" s="352"/>
      <c r="K298" s="346"/>
      <c r="L298" s="353"/>
      <c r="M298" s="350" t="str">
        <f t="shared" si="6"/>
        <v/>
      </c>
      <c r="N298" s="351" t="str">
        <f t="shared" si="7"/>
        <v/>
      </c>
      <c r="O298" s="346"/>
      <c r="Q298" s="339"/>
      <c r="S298" s="958"/>
    </row>
    <row r="299" spans="1:19" x14ac:dyDescent="0.25">
      <c r="A299" s="339"/>
      <c r="C299" s="346"/>
      <c r="D299" s="1349"/>
      <c r="E299" s="1349"/>
      <c r="F299" s="346"/>
      <c r="G299" s="1349"/>
      <c r="H299" s="1349"/>
      <c r="I299" s="346"/>
      <c r="J299" s="352"/>
      <c r="K299" s="346"/>
      <c r="L299" s="353"/>
      <c r="M299" s="350" t="str">
        <f t="shared" si="6"/>
        <v/>
      </c>
      <c r="N299" s="351" t="str">
        <f t="shared" si="7"/>
        <v/>
      </c>
      <c r="O299" s="346"/>
      <c r="Q299" s="339"/>
      <c r="S299" s="958"/>
    </row>
    <row r="300" spans="1:19" x14ac:dyDescent="0.25">
      <c r="A300" s="339"/>
      <c r="C300" s="346"/>
      <c r="D300" s="1349"/>
      <c r="E300" s="1349"/>
      <c r="F300" s="346"/>
      <c r="G300" s="1349"/>
      <c r="H300" s="1349"/>
      <c r="I300" s="346"/>
      <c r="J300" s="352"/>
      <c r="K300" s="346"/>
      <c r="L300" s="353"/>
      <c r="M300" s="350" t="str">
        <f t="shared" si="6"/>
        <v/>
      </c>
      <c r="N300" s="351" t="str">
        <f t="shared" si="7"/>
        <v/>
      </c>
      <c r="O300" s="346"/>
      <c r="Q300" s="339"/>
      <c r="S300" s="958"/>
    </row>
    <row r="301" spans="1:19" x14ac:dyDescent="0.25">
      <c r="A301" s="339"/>
      <c r="C301" s="346"/>
      <c r="D301" s="1349"/>
      <c r="E301" s="1349"/>
      <c r="F301" s="346"/>
      <c r="G301" s="1349"/>
      <c r="H301" s="1349"/>
      <c r="I301" s="346"/>
      <c r="J301" s="352"/>
      <c r="K301" s="346"/>
      <c r="L301" s="353"/>
      <c r="M301" s="350" t="str">
        <f t="shared" si="6"/>
        <v/>
      </c>
      <c r="N301" s="351" t="str">
        <f t="shared" si="7"/>
        <v/>
      </c>
      <c r="O301" s="346"/>
      <c r="Q301" s="339"/>
      <c r="S301" s="958"/>
    </row>
    <row r="302" spans="1:19" x14ac:dyDescent="0.25">
      <c r="A302" s="339"/>
      <c r="C302" s="346"/>
      <c r="D302" s="1349"/>
      <c r="E302" s="1349"/>
      <c r="F302" s="346"/>
      <c r="G302" s="1349"/>
      <c r="H302" s="1349"/>
      <c r="I302" s="346"/>
      <c r="J302" s="352"/>
      <c r="K302" s="346"/>
      <c r="L302" s="353"/>
      <c r="M302" s="350" t="str">
        <f t="shared" si="6"/>
        <v/>
      </c>
      <c r="N302" s="351" t="str">
        <f t="shared" si="7"/>
        <v/>
      </c>
      <c r="O302" s="346"/>
      <c r="Q302" s="339"/>
      <c r="S302" s="958"/>
    </row>
    <row r="303" spans="1:19" x14ac:dyDescent="0.25">
      <c r="A303" s="339"/>
      <c r="C303" s="346"/>
      <c r="D303" s="1349"/>
      <c r="E303" s="1349"/>
      <c r="F303" s="346"/>
      <c r="G303" s="1349"/>
      <c r="H303" s="1349"/>
      <c r="I303" s="346"/>
      <c r="J303" s="352"/>
      <c r="K303" s="346"/>
      <c r="L303" s="353"/>
      <c r="M303" s="350" t="str">
        <f t="shared" si="6"/>
        <v/>
      </c>
      <c r="N303" s="351" t="str">
        <f t="shared" si="7"/>
        <v/>
      </c>
      <c r="O303" s="346"/>
      <c r="Q303" s="339"/>
      <c r="S303" s="958"/>
    </row>
    <row r="304" spans="1:19" x14ac:dyDescent="0.25">
      <c r="A304" s="339"/>
      <c r="C304" s="346"/>
      <c r="D304" s="1349"/>
      <c r="E304" s="1349"/>
      <c r="F304" s="346"/>
      <c r="G304" s="1349"/>
      <c r="H304" s="1349"/>
      <c r="I304" s="346"/>
      <c r="J304" s="352"/>
      <c r="K304" s="346"/>
      <c r="L304" s="353"/>
      <c r="M304" s="350" t="str">
        <f t="shared" si="6"/>
        <v/>
      </c>
      <c r="N304" s="351" t="str">
        <f t="shared" si="7"/>
        <v/>
      </c>
      <c r="O304" s="346"/>
      <c r="Q304" s="339"/>
      <c r="S304" s="958"/>
    </row>
    <row r="305" spans="1:19" x14ac:dyDescent="0.25">
      <c r="A305" s="339"/>
      <c r="C305" s="346"/>
      <c r="D305" s="1349"/>
      <c r="E305" s="1349"/>
      <c r="F305" s="346"/>
      <c r="G305" s="1349"/>
      <c r="H305" s="1349"/>
      <c r="I305" s="346"/>
      <c r="J305" s="352"/>
      <c r="K305" s="346"/>
      <c r="L305" s="353"/>
      <c r="M305" s="350" t="str">
        <f t="shared" si="6"/>
        <v/>
      </c>
      <c r="N305" s="351" t="str">
        <f t="shared" si="7"/>
        <v/>
      </c>
      <c r="O305" s="346"/>
      <c r="Q305" s="339"/>
      <c r="S305" s="958"/>
    </row>
    <row r="306" spans="1:19" x14ac:dyDescent="0.25">
      <c r="A306" s="339"/>
      <c r="C306" s="346"/>
      <c r="D306" s="1349"/>
      <c r="E306" s="1349"/>
      <c r="F306" s="346"/>
      <c r="G306" s="1349"/>
      <c r="H306" s="1349"/>
      <c r="I306" s="346"/>
      <c r="J306" s="352"/>
      <c r="K306" s="346"/>
      <c r="L306" s="353"/>
      <c r="M306" s="350" t="str">
        <f t="shared" si="6"/>
        <v/>
      </c>
      <c r="N306" s="351" t="str">
        <f t="shared" si="7"/>
        <v/>
      </c>
      <c r="O306" s="346"/>
      <c r="Q306" s="339"/>
      <c r="S306" s="958"/>
    </row>
    <row r="307" spans="1:19" x14ac:dyDescent="0.25">
      <c r="A307" s="339"/>
      <c r="C307" s="346"/>
      <c r="D307" s="1349"/>
      <c r="E307" s="1349"/>
      <c r="F307" s="346"/>
      <c r="G307" s="1349"/>
      <c r="H307" s="1349"/>
      <c r="I307" s="346"/>
      <c r="J307" s="352"/>
      <c r="K307" s="346"/>
      <c r="L307" s="353"/>
      <c r="M307" s="350" t="str">
        <f t="shared" si="6"/>
        <v/>
      </c>
      <c r="N307" s="351" t="str">
        <f t="shared" si="7"/>
        <v/>
      </c>
      <c r="O307" s="346"/>
      <c r="Q307" s="339"/>
      <c r="S307" s="958"/>
    </row>
    <row r="308" spans="1:19" x14ac:dyDescent="0.25">
      <c r="A308" s="339"/>
      <c r="C308" s="346"/>
      <c r="D308" s="1349"/>
      <c r="E308" s="1349"/>
      <c r="F308" s="346"/>
      <c r="G308" s="1349"/>
      <c r="H308" s="1349"/>
      <c r="I308" s="346"/>
      <c r="J308" s="352"/>
      <c r="K308" s="346"/>
      <c r="L308" s="353"/>
      <c r="M308" s="350" t="str">
        <f t="shared" si="6"/>
        <v/>
      </c>
      <c r="N308" s="351" t="str">
        <f t="shared" si="7"/>
        <v/>
      </c>
      <c r="O308" s="346"/>
      <c r="Q308" s="339"/>
      <c r="S308" s="958"/>
    </row>
    <row r="309" spans="1:19" x14ac:dyDescent="0.25">
      <c r="A309" s="339"/>
      <c r="C309" s="346"/>
      <c r="D309" s="1349"/>
      <c r="E309" s="1349"/>
      <c r="F309" s="346"/>
      <c r="G309" s="1349"/>
      <c r="H309" s="1349"/>
      <c r="I309" s="346"/>
      <c r="J309" s="352"/>
      <c r="K309" s="346"/>
      <c r="L309" s="353"/>
      <c r="M309" s="350" t="str">
        <f t="shared" si="6"/>
        <v/>
      </c>
      <c r="N309" s="351" t="str">
        <f t="shared" si="7"/>
        <v/>
      </c>
      <c r="O309" s="346"/>
      <c r="Q309" s="339"/>
      <c r="S309" s="958"/>
    </row>
    <row r="310" spans="1:19" x14ac:dyDescent="0.25">
      <c r="A310" s="339"/>
      <c r="C310" s="346"/>
      <c r="D310" s="1349"/>
      <c r="E310" s="1349"/>
      <c r="F310" s="346"/>
      <c r="G310" s="1349"/>
      <c r="H310" s="1349"/>
      <c r="I310" s="346"/>
      <c r="J310" s="352"/>
      <c r="K310" s="346"/>
      <c r="L310" s="353"/>
      <c r="M310" s="350" t="str">
        <f t="shared" si="6"/>
        <v/>
      </c>
      <c r="N310" s="351" t="str">
        <f t="shared" si="7"/>
        <v/>
      </c>
      <c r="O310" s="346"/>
      <c r="Q310" s="339"/>
      <c r="S310" s="958"/>
    </row>
    <row r="311" spans="1:19" x14ac:dyDescent="0.25">
      <c r="A311" s="339"/>
      <c r="C311" s="346"/>
      <c r="D311" s="1349"/>
      <c r="E311" s="1349"/>
      <c r="F311" s="346"/>
      <c r="G311" s="1349"/>
      <c r="H311" s="1349"/>
      <c r="I311" s="346"/>
      <c r="J311" s="352"/>
      <c r="K311" s="346"/>
      <c r="L311" s="353"/>
      <c r="M311" s="350" t="str">
        <f t="shared" si="6"/>
        <v/>
      </c>
      <c r="N311" s="351" t="str">
        <f t="shared" si="7"/>
        <v/>
      </c>
      <c r="O311" s="346"/>
      <c r="Q311" s="339"/>
      <c r="S311" s="958"/>
    </row>
    <row r="312" spans="1:19" x14ac:dyDescent="0.25">
      <c r="A312" s="339"/>
      <c r="C312" s="346"/>
      <c r="D312" s="1349"/>
      <c r="E312" s="1349"/>
      <c r="F312" s="346"/>
      <c r="G312" s="1349"/>
      <c r="H312" s="1349"/>
      <c r="I312" s="346"/>
      <c r="J312" s="352"/>
      <c r="K312" s="346"/>
      <c r="L312" s="353"/>
      <c r="M312" s="350" t="str">
        <f t="shared" si="6"/>
        <v/>
      </c>
      <c r="N312" s="351" t="str">
        <f t="shared" si="7"/>
        <v/>
      </c>
      <c r="O312" s="346"/>
      <c r="Q312" s="339"/>
      <c r="S312" s="958"/>
    </row>
    <row r="313" spans="1:19" x14ac:dyDescent="0.25">
      <c r="A313" s="339"/>
      <c r="C313" s="346"/>
      <c r="D313" s="1349"/>
      <c r="E313" s="1349"/>
      <c r="F313" s="346"/>
      <c r="G313" s="1349"/>
      <c r="H313" s="1349"/>
      <c r="I313" s="346"/>
      <c r="J313" s="352"/>
      <c r="K313" s="346"/>
      <c r="L313" s="353"/>
      <c r="M313" s="350" t="str">
        <f t="shared" si="6"/>
        <v/>
      </c>
      <c r="N313" s="351" t="str">
        <f t="shared" si="7"/>
        <v/>
      </c>
      <c r="O313" s="346"/>
      <c r="Q313" s="339"/>
      <c r="S313" s="958"/>
    </row>
    <row r="314" spans="1:19" x14ac:dyDescent="0.25">
      <c r="A314" s="339"/>
      <c r="C314" s="346"/>
      <c r="D314" s="1349"/>
      <c r="E314" s="1349"/>
      <c r="F314" s="346"/>
      <c r="G314" s="1349"/>
      <c r="H314" s="1349"/>
      <c r="I314" s="346"/>
      <c r="J314" s="352"/>
      <c r="K314" s="346"/>
      <c r="L314" s="353"/>
      <c r="M314" s="350" t="str">
        <f t="shared" si="6"/>
        <v/>
      </c>
      <c r="N314" s="351" t="str">
        <f t="shared" si="7"/>
        <v/>
      </c>
      <c r="O314" s="346"/>
      <c r="Q314" s="339"/>
      <c r="S314" s="958"/>
    </row>
    <row r="315" spans="1:19" x14ac:dyDescent="0.25">
      <c r="A315" s="339"/>
      <c r="C315" s="346"/>
      <c r="D315" s="1349"/>
      <c r="E315" s="1349"/>
      <c r="F315" s="346"/>
      <c r="G315" s="1349"/>
      <c r="H315" s="1349"/>
      <c r="I315" s="346"/>
      <c r="J315" s="352"/>
      <c r="K315" s="346"/>
      <c r="L315" s="353"/>
      <c r="M315" s="350" t="str">
        <f t="shared" si="6"/>
        <v/>
      </c>
      <c r="N315" s="351" t="str">
        <f t="shared" si="7"/>
        <v/>
      </c>
      <c r="O315" s="346"/>
      <c r="Q315" s="339"/>
      <c r="S315" s="958"/>
    </row>
    <row r="316" spans="1:19" x14ac:dyDescent="0.25">
      <c r="A316" s="339"/>
      <c r="C316" s="346"/>
      <c r="D316" s="1349"/>
      <c r="E316" s="1349"/>
      <c r="F316" s="346"/>
      <c r="G316" s="1349"/>
      <c r="H316" s="1349"/>
      <c r="I316" s="346"/>
      <c r="J316" s="352"/>
      <c r="K316" s="346"/>
      <c r="L316" s="353"/>
      <c r="M316" s="350" t="str">
        <f t="shared" si="6"/>
        <v/>
      </c>
      <c r="N316" s="351" t="str">
        <f t="shared" si="7"/>
        <v/>
      </c>
      <c r="O316" s="346"/>
      <c r="Q316" s="339"/>
      <c r="S316" s="958"/>
    </row>
    <row r="317" spans="1:19" x14ac:dyDescent="0.25">
      <c r="A317" s="339"/>
      <c r="C317" s="346"/>
      <c r="D317" s="1349"/>
      <c r="E317" s="1349"/>
      <c r="F317" s="346"/>
      <c r="G317" s="1349"/>
      <c r="H317" s="1349"/>
      <c r="I317" s="346"/>
      <c r="J317" s="352"/>
      <c r="K317" s="346"/>
      <c r="L317" s="353"/>
      <c r="M317" s="350" t="str">
        <f t="shared" si="6"/>
        <v/>
      </c>
      <c r="N317" s="351" t="str">
        <f t="shared" si="7"/>
        <v/>
      </c>
      <c r="O317" s="346"/>
      <c r="Q317" s="339"/>
      <c r="S317" s="958"/>
    </row>
    <row r="318" spans="1:19" x14ac:dyDescent="0.25">
      <c r="A318" s="339"/>
      <c r="C318" s="346"/>
      <c r="D318" s="1349"/>
      <c r="E318" s="1349"/>
      <c r="F318" s="346"/>
      <c r="G318" s="1349"/>
      <c r="H318" s="1349"/>
      <c r="I318" s="346"/>
      <c r="J318" s="352"/>
      <c r="K318" s="346"/>
      <c r="L318" s="353"/>
      <c r="M318" s="350" t="str">
        <f t="shared" si="6"/>
        <v/>
      </c>
      <c r="N318" s="351" t="str">
        <f t="shared" si="7"/>
        <v/>
      </c>
      <c r="O318" s="346"/>
      <c r="Q318" s="339"/>
      <c r="S318" s="958"/>
    </row>
    <row r="319" spans="1:19" x14ac:dyDescent="0.25">
      <c r="A319" s="339"/>
      <c r="C319" s="346"/>
      <c r="D319" s="1349"/>
      <c r="E319" s="1349"/>
      <c r="F319" s="346"/>
      <c r="G319" s="1349"/>
      <c r="H319" s="1349"/>
      <c r="I319" s="346"/>
      <c r="J319" s="352"/>
      <c r="K319" s="346"/>
      <c r="L319" s="353"/>
      <c r="M319" s="350" t="str">
        <f t="shared" si="6"/>
        <v/>
      </c>
      <c r="N319" s="351" t="str">
        <f t="shared" si="7"/>
        <v/>
      </c>
      <c r="O319" s="346"/>
      <c r="Q319" s="339"/>
      <c r="S319" s="958"/>
    </row>
    <row r="320" spans="1:19" x14ac:dyDescent="0.25">
      <c r="A320" s="339"/>
      <c r="C320" s="346"/>
      <c r="D320" s="1349"/>
      <c r="E320" s="1349"/>
      <c r="F320" s="346"/>
      <c r="G320" s="1349"/>
      <c r="H320" s="1349"/>
      <c r="I320" s="346"/>
      <c r="J320" s="352"/>
      <c r="K320" s="346"/>
      <c r="L320" s="353"/>
      <c r="M320" s="350" t="str">
        <f t="shared" si="6"/>
        <v/>
      </c>
      <c r="N320" s="351" t="str">
        <f t="shared" si="7"/>
        <v/>
      </c>
      <c r="O320" s="346"/>
      <c r="Q320" s="339"/>
      <c r="S320" s="958"/>
    </row>
    <row r="321" spans="1:19" x14ac:dyDescent="0.25">
      <c r="A321" s="339"/>
      <c r="C321" s="346"/>
      <c r="D321" s="1349"/>
      <c r="E321" s="1349"/>
      <c r="F321" s="346"/>
      <c r="G321" s="1349"/>
      <c r="H321" s="1349"/>
      <c r="I321" s="346"/>
      <c r="J321" s="352"/>
      <c r="K321" s="346"/>
      <c r="L321" s="353"/>
      <c r="M321" s="350" t="str">
        <f t="shared" si="6"/>
        <v/>
      </c>
      <c r="N321" s="351" t="str">
        <f t="shared" si="7"/>
        <v/>
      </c>
      <c r="O321" s="346"/>
      <c r="Q321" s="339"/>
      <c r="S321" s="958"/>
    </row>
    <row r="322" spans="1:19" x14ac:dyDescent="0.25">
      <c r="A322" s="339"/>
      <c r="C322" s="346"/>
      <c r="D322" s="1349"/>
      <c r="E322" s="1349"/>
      <c r="F322" s="346"/>
      <c r="G322" s="1349"/>
      <c r="H322" s="1349"/>
      <c r="I322" s="346"/>
      <c r="J322" s="352"/>
      <c r="K322" s="346"/>
      <c r="L322" s="353"/>
      <c r="M322" s="350" t="str">
        <f t="shared" si="6"/>
        <v/>
      </c>
      <c r="N322" s="351" t="str">
        <f t="shared" si="7"/>
        <v/>
      </c>
      <c r="O322" s="346"/>
      <c r="Q322" s="339"/>
      <c r="S322" s="958"/>
    </row>
    <row r="323" spans="1:19" x14ac:dyDescent="0.25">
      <c r="A323" s="339"/>
      <c r="C323" s="346"/>
      <c r="D323" s="1349"/>
      <c r="E323" s="1349"/>
      <c r="F323" s="346"/>
      <c r="G323" s="1349"/>
      <c r="H323" s="1349"/>
      <c r="I323" s="346"/>
      <c r="J323" s="352"/>
      <c r="K323" s="346"/>
      <c r="L323" s="353"/>
      <c r="M323" s="350" t="str">
        <f t="shared" si="6"/>
        <v/>
      </c>
      <c r="N323" s="351" t="str">
        <f t="shared" si="7"/>
        <v/>
      </c>
      <c r="O323" s="346"/>
      <c r="Q323" s="339"/>
      <c r="S323" s="958"/>
    </row>
    <row r="324" spans="1:19" x14ac:dyDescent="0.25">
      <c r="A324" s="339"/>
      <c r="C324" s="346"/>
      <c r="D324" s="1349"/>
      <c r="E324" s="1349"/>
      <c r="F324" s="346"/>
      <c r="G324" s="1349"/>
      <c r="H324" s="1349"/>
      <c r="I324" s="346"/>
      <c r="J324" s="352"/>
      <c r="K324" s="346"/>
      <c r="L324" s="353"/>
      <c r="M324" s="350" t="str">
        <f t="shared" si="6"/>
        <v/>
      </c>
      <c r="N324" s="351" t="str">
        <f t="shared" si="7"/>
        <v/>
      </c>
      <c r="O324" s="346"/>
      <c r="Q324" s="339"/>
      <c r="S324" s="958"/>
    </row>
    <row r="325" spans="1:19" x14ac:dyDescent="0.25">
      <c r="A325" s="339"/>
      <c r="C325" s="346"/>
      <c r="D325" s="1349"/>
      <c r="E325" s="1349"/>
      <c r="F325" s="346"/>
      <c r="G325" s="1349"/>
      <c r="H325" s="1349"/>
      <c r="I325" s="346"/>
      <c r="J325" s="352"/>
      <c r="K325" s="346"/>
      <c r="L325" s="353"/>
      <c r="M325" s="350" t="str">
        <f t="shared" si="6"/>
        <v/>
      </c>
      <c r="N325" s="351" t="str">
        <f t="shared" si="7"/>
        <v/>
      </c>
      <c r="O325" s="346"/>
      <c r="Q325" s="339"/>
      <c r="S325" s="958"/>
    </row>
    <row r="326" spans="1:19" x14ac:dyDescent="0.25">
      <c r="A326" s="339"/>
      <c r="C326" s="346"/>
      <c r="D326" s="1349"/>
      <c r="E326" s="1349"/>
      <c r="F326" s="346"/>
      <c r="G326" s="1349"/>
      <c r="H326" s="1349"/>
      <c r="I326" s="346"/>
      <c r="J326" s="352"/>
      <c r="K326" s="346"/>
      <c r="L326" s="353"/>
      <c r="M326" s="350" t="str">
        <f t="shared" ref="M326:M368" si="8">IF(K326="","", INDEX(CNTR_EFListSelected,MATCH(K326,CORSIA_FuelsList,0)))</f>
        <v/>
      </c>
      <c r="N326" s="351" t="str">
        <f t="shared" si="7"/>
        <v/>
      </c>
      <c r="O326" s="346"/>
      <c r="Q326" s="339"/>
      <c r="S326" s="958"/>
    </row>
    <row r="327" spans="1:19" x14ac:dyDescent="0.25">
      <c r="A327" s="339"/>
      <c r="C327" s="346"/>
      <c r="D327" s="1349"/>
      <c r="E327" s="1349"/>
      <c r="F327" s="346"/>
      <c r="G327" s="1349"/>
      <c r="H327" s="1349"/>
      <c r="I327" s="346"/>
      <c r="J327" s="352"/>
      <c r="K327" s="346"/>
      <c r="L327" s="353"/>
      <c r="M327" s="350" t="str">
        <f t="shared" si="8"/>
        <v/>
      </c>
      <c r="N327" s="351" t="str">
        <f t="shared" ref="N327:N368" si="9">IF(COUNT(L327:M327)=2,L327*M327,"")</f>
        <v/>
      </c>
      <c r="O327" s="346"/>
      <c r="Q327" s="339"/>
      <c r="S327" s="958"/>
    </row>
    <row r="328" spans="1:19" x14ac:dyDescent="0.25">
      <c r="A328" s="339"/>
      <c r="C328" s="346"/>
      <c r="D328" s="1349"/>
      <c r="E328" s="1349"/>
      <c r="F328" s="346"/>
      <c r="G328" s="1349"/>
      <c r="H328" s="1349"/>
      <c r="I328" s="346"/>
      <c r="J328" s="352"/>
      <c r="K328" s="346"/>
      <c r="L328" s="353"/>
      <c r="M328" s="350" t="str">
        <f t="shared" si="8"/>
        <v/>
      </c>
      <c r="N328" s="351" t="str">
        <f t="shared" si="9"/>
        <v/>
      </c>
      <c r="O328" s="346"/>
      <c r="Q328" s="339"/>
      <c r="S328" s="958"/>
    </row>
    <row r="329" spans="1:19" x14ac:dyDescent="0.25">
      <c r="A329" s="339"/>
      <c r="C329" s="346"/>
      <c r="D329" s="1349"/>
      <c r="E329" s="1349"/>
      <c r="F329" s="346"/>
      <c r="G329" s="1349"/>
      <c r="H329" s="1349"/>
      <c r="I329" s="346"/>
      <c r="J329" s="352"/>
      <c r="K329" s="346"/>
      <c r="L329" s="353"/>
      <c r="M329" s="350" t="str">
        <f t="shared" si="8"/>
        <v/>
      </c>
      <c r="N329" s="351" t="str">
        <f t="shared" si="9"/>
        <v/>
      </c>
      <c r="O329" s="346"/>
      <c r="Q329" s="339"/>
      <c r="S329" s="958"/>
    </row>
    <row r="330" spans="1:19" x14ac:dyDescent="0.25">
      <c r="A330" s="339"/>
      <c r="C330" s="346"/>
      <c r="D330" s="1349"/>
      <c r="E330" s="1349"/>
      <c r="F330" s="346"/>
      <c r="G330" s="1349"/>
      <c r="H330" s="1349"/>
      <c r="I330" s="346"/>
      <c r="J330" s="352"/>
      <c r="K330" s="346"/>
      <c r="L330" s="353"/>
      <c r="M330" s="350" t="str">
        <f t="shared" si="8"/>
        <v/>
      </c>
      <c r="N330" s="351" t="str">
        <f t="shared" si="9"/>
        <v/>
      </c>
      <c r="O330" s="346"/>
      <c r="Q330" s="339"/>
      <c r="S330" s="958"/>
    </row>
    <row r="331" spans="1:19" x14ac:dyDescent="0.25">
      <c r="A331" s="339"/>
      <c r="C331" s="346"/>
      <c r="D331" s="1349"/>
      <c r="E331" s="1349"/>
      <c r="F331" s="346"/>
      <c r="G331" s="1349"/>
      <c r="H331" s="1349"/>
      <c r="I331" s="346"/>
      <c r="J331" s="352"/>
      <c r="K331" s="346"/>
      <c r="L331" s="353"/>
      <c r="M331" s="350" t="str">
        <f t="shared" si="8"/>
        <v/>
      </c>
      <c r="N331" s="351" t="str">
        <f t="shared" si="9"/>
        <v/>
      </c>
      <c r="O331" s="346"/>
      <c r="Q331" s="339"/>
      <c r="S331" s="958"/>
    </row>
    <row r="332" spans="1:19" x14ac:dyDescent="0.25">
      <c r="A332" s="339"/>
      <c r="C332" s="346"/>
      <c r="D332" s="1349"/>
      <c r="E332" s="1349"/>
      <c r="F332" s="346"/>
      <c r="G332" s="1349"/>
      <c r="H332" s="1349"/>
      <c r="I332" s="346"/>
      <c r="J332" s="352"/>
      <c r="K332" s="346"/>
      <c r="L332" s="353"/>
      <c r="M332" s="350" t="str">
        <f t="shared" si="8"/>
        <v/>
      </c>
      <c r="N332" s="351" t="str">
        <f t="shared" si="9"/>
        <v/>
      </c>
      <c r="O332" s="346"/>
      <c r="Q332" s="339"/>
      <c r="S332" s="958"/>
    </row>
    <row r="333" spans="1:19" x14ac:dyDescent="0.25">
      <c r="A333" s="339"/>
      <c r="C333" s="346"/>
      <c r="D333" s="1349"/>
      <c r="E333" s="1349"/>
      <c r="F333" s="346"/>
      <c r="G333" s="1349"/>
      <c r="H333" s="1349"/>
      <c r="I333" s="346"/>
      <c r="J333" s="352"/>
      <c r="K333" s="346"/>
      <c r="L333" s="353"/>
      <c r="M333" s="350" t="str">
        <f t="shared" si="8"/>
        <v/>
      </c>
      <c r="N333" s="351" t="str">
        <f t="shared" si="9"/>
        <v/>
      </c>
      <c r="O333" s="346"/>
      <c r="Q333" s="339"/>
      <c r="S333" s="958"/>
    </row>
    <row r="334" spans="1:19" x14ac:dyDescent="0.25">
      <c r="A334" s="339"/>
      <c r="C334" s="346"/>
      <c r="D334" s="1349"/>
      <c r="E334" s="1349"/>
      <c r="F334" s="346"/>
      <c r="G334" s="1349"/>
      <c r="H334" s="1349"/>
      <c r="I334" s="346"/>
      <c r="J334" s="352"/>
      <c r="K334" s="346"/>
      <c r="L334" s="353"/>
      <c r="M334" s="350" t="str">
        <f t="shared" si="8"/>
        <v/>
      </c>
      <c r="N334" s="351" t="str">
        <f t="shared" si="9"/>
        <v/>
      </c>
      <c r="O334" s="346"/>
      <c r="Q334" s="339"/>
      <c r="S334" s="958"/>
    </row>
    <row r="335" spans="1:19" x14ac:dyDescent="0.25">
      <c r="A335" s="339"/>
      <c r="C335" s="346"/>
      <c r="D335" s="1349"/>
      <c r="E335" s="1349"/>
      <c r="F335" s="346"/>
      <c r="G335" s="1349"/>
      <c r="H335" s="1349"/>
      <c r="I335" s="346"/>
      <c r="J335" s="352"/>
      <c r="K335" s="346"/>
      <c r="L335" s="353"/>
      <c r="M335" s="350" t="str">
        <f t="shared" si="8"/>
        <v/>
      </c>
      <c r="N335" s="351" t="str">
        <f t="shared" si="9"/>
        <v/>
      </c>
      <c r="O335" s="346"/>
      <c r="Q335" s="339"/>
      <c r="S335" s="958"/>
    </row>
    <row r="336" spans="1:19" x14ac:dyDescent="0.25">
      <c r="A336" s="339"/>
      <c r="C336" s="346"/>
      <c r="D336" s="1349"/>
      <c r="E336" s="1349"/>
      <c r="F336" s="346"/>
      <c r="G336" s="1349"/>
      <c r="H336" s="1349"/>
      <c r="I336" s="346"/>
      <c r="J336" s="352"/>
      <c r="K336" s="346"/>
      <c r="L336" s="353"/>
      <c r="M336" s="350" t="str">
        <f t="shared" si="8"/>
        <v/>
      </c>
      <c r="N336" s="351" t="str">
        <f t="shared" si="9"/>
        <v/>
      </c>
      <c r="O336" s="346"/>
      <c r="Q336" s="339"/>
      <c r="S336" s="958"/>
    </row>
    <row r="337" spans="1:19" x14ac:dyDescent="0.25">
      <c r="A337" s="339"/>
      <c r="C337" s="346"/>
      <c r="D337" s="1349"/>
      <c r="E337" s="1349"/>
      <c r="F337" s="346"/>
      <c r="G337" s="1349"/>
      <c r="H337" s="1349"/>
      <c r="I337" s="346"/>
      <c r="J337" s="352"/>
      <c r="K337" s="346"/>
      <c r="L337" s="353"/>
      <c r="M337" s="350" t="str">
        <f t="shared" si="8"/>
        <v/>
      </c>
      <c r="N337" s="351" t="str">
        <f t="shared" si="9"/>
        <v/>
      </c>
      <c r="O337" s="346"/>
      <c r="Q337" s="339"/>
      <c r="S337" s="958"/>
    </row>
    <row r="338" spans="1:19" x14ac:dyDescent="0.25">
      <c r="A338" s="339"/>
      <c r="C338" s="346"/>
      <c r="D338" s="1349"/>
      <c r="E338" s="1349"/>
      <c r="F338" s="346"/>
      <c r="G338" s="1349"/>
      <c r="H338" s="1349"/>
      <c r="I338" s="346"/>
      <c r="J338" s="352"/>
      <c r="K338" s="346"/>
      <c r="L338" s="353"/>
      <c r="M338" s="350" t="str">
        <f t="shared" si="8"/>
        <v/>
      </c>
      <c r="N338" s="351" t="str">
        <f t="shared" si="9"/>
        <v/>
      </c>
      <c r="O338" s="346"/>
      <c r="Q338" s="339"/>
      <c r="S338" s="958"/>
    </row>
    <row r="339" spans="1:19" x14ac:dyDescent="0.25">
      <c r="A339" s="339"/>
      <c r="C339" s="346"/>
      <c r="D339" s="1349"/>
      <c r="E339" s="1349"/>
      <c r="F339" s="346"/>
      <c r="G339" s="1349"/>
      <c r="H339" s="1349"/>
      <c r="I339" s="346"/>
      <c r="J339" s="352"/>
      <c r="K339" s="346"/>
      <c r="L339" s="353"/>
      <c r="M339" s="350" t="str">
        <f t="shared" si="8"/>
        <v/>
      </c>
      <c r="N339" s="351" t="str">
        <f t="shared" si="9"/>
        <v/>
      </c>
      <c r="O339" s="346"/>
      <c r="Q339" s="339"/>
      <c r="S339" s="958"/>
    </row>
    <row r="340" spans="1:19" x14ac:dyDescent="0.25">
      <c r="A340" s="339"/>
      <c r="C340" s="346"/>
      <c r="D340" s="1349"/>
      <c r="E340" s="1349"/>
      <c r="F340" s="346"/>
      <c r="G340" s="1349"/>
      <c r="H340" s="1349"/>
      <c r="I340" s="346"/>
      <c r="J340" s="352"/>
      <c r="K340" s="346"/>
      <c r="L340" s="353"/>
      <c r="M340" s="350" t="str">
        <f t="shared" si="8"/>
        <v/>
      </c>
      <c r="N340" s="351" t="str">
        <f t="shared" si="9"/>
        <v/>
      </c>
      <c r="O340" s="346"/>
      <c r="Q340" s="339"/>
      <c r="S340" s="958"/>
    </row>
    <row r="341" spans="1:19" x14ac:dyDescent="0.25">
      <c r="A341" s="339"/>
      <c r="C341" s="346"/>
      <c r="D341" s="1349"/>
      <c r="E341" s="1349"/>
      <c r="F341" s="346"/>
      <c r="G341" s="1349"/>
      <c r="H341" s="1349"/>
      <c r="I341" s="346"/>
      <c r="J341" s="352"/>
      <c r="K341" s="346"/>
      <c r="L341" s="353"/>
      <c r="M341" s="350" t="str">
        <f t="shared" si="8"/>
        <v/>
      </c>
      <c r="N341" s="351" t="str">
        <f t="shared" si="9"/>
        <v/>
      </c>
      <c r="O341" s="346"/>
      <c r="Q341" s="339"/>
      <c r="S341" s="958"/>
    </row>
    <row r="342" spans="1:19" x14ac:dyDescent="0.25">
      <c r="A342" s="339"/>
      <c r="C342" s="346"/>
      <c r="D342" s="1349"/>
      <c r="E342" s="1349"/>
      <c r="F342" s="346"/>
      <c r="G342" s="1349"/>
      <c r="H342" s="1349"/>
      <c r="I342" s="346"/>
      <c r="J342" s="352"/>
      <c r="K342" s="346"/>
      <c r="L342" s="353"/>
      <c r="M342" s="350" t="str">
        <f t="shared" si="8"/>
        <v/>
      </c>
      <c r="N342" s="351" t="str">
        <f t="shared" si="9"/>
        <v/>
      </c>
      <c r="O342" s="346"/>
      <c r="Q342" s="339"/>
      <c r="S342" s="958"/>
    </row>
    <row r="343" spans="1:19" x14ac:dyDescent="0.25">
      <c r="A343" s="339"/>
      <c r="C343" s="346"/>
      <c r="D343" s="1349"/>
      <c r="E343" s="1349"/>
      <c r="F343" s="346"/>
      <c r="G343" s="1349"/>
      <c r="H343" s="1349"/>
      <c r="I343" s="346"/>
      <c r="J343" s="352"/>
      <c r="K343" s="346"/>
      <c r="L343" s="353"/>
      <c r="M343" s="350" t="str">
        <f t="shared" si="8"/>
        <v/>
      </c>
      <c r="N343" s="351" t="str">
        <f t="shared" si="9"/>
        <v/>
      </c>
      <c r="O343" s="346"/>
      <c r="Q343" s="339"/>
      <c r="S343" s="958"/>
    </row>
    <row r="344" spans="1:19" x14ac:dyDescent="0.25">
      <c r="A344" s="339"/>
      <c r="C344" s="346"/>
      <c r="D344" s="1349"/>
      <c r="E344" s="1349"/>
      <c r="F344" s="346"/>
      <c r="G344" s="1349"/>
      <c r="H344" s="1349"/>
      <c r="I344" s="346"/>
      <c r="J344" s="352"/>
      <c r="K344" s="346"/>
      <c r="L344" s="353"/>
      <c r="M344" s="350" t="str">
        <f t="shared" si="8"/>
        <v/>
      </c>
      <c r="N344" s="351" t="str">
        <f t="shared" si="9"/>
        <v/>
      </c>
      <c r="O344" s="346"/>
      <c r="Q344" s="339"/>
      <c r="S344" s="958"/>
    </row>
    <row r="345" spans="1:19" x14ac:dyDescent="0.25">
      <c r="A345" s="339"/>
      <c r="C345" s="346"/>
      <c r="D345" s="1349"/>
      <c r="E345" s="1349"/>
      <c r="F345" s="346"/>
      <c r="G345" s="1349"/>
      <c r="H345" s="1349"/>
      <c r="I345" s="346"/>
      <c r="J345" s="352"/>
      <c r="K345" s="346"/>
      <c r="L345" s="353"/>
      <c r="M345" s="350" t="str">
        <f t="shared" si="8"/>
        <v/>
      </c>
      <c r="N345" s="351" t="str">
        <f t="shared" si="9"/>
        <v/>
      </c>
      <c r="O345" s="346"/>
      <c r="Q345" s="339"/>
      <c r="S345" s="958"/>
    </row>
    <row r="346" spans="1:19" x14ac:dyDescent="0.25">
      <c r="A346" s="339"/>
      <c r="C346" s="346"/>
      <c r="D346" s="1349"/>
      <c r="E346" s="1349"/>
      <c r="F346" s="346"/>
      <c r="G346" s="1349"/>
      <c r="H346" s="1349"/>
      <c r="I346" s="346"/>
      <c r="J346" s="352"/>
      <c r="K346" s="346"/>
      <c r="L346" s="353"/>
      <c r="M346" s="350" t="str">
        <f t="shared" si="8"/>
        <v/>
      </c>
      <c r="N346" s="351" t="str">
        <f t="shared" si="9"/>
        <v/>
      </c>
      <c r="O346" s="346"/>
      <c r="Q346" s="339"/>
      <c r="S346" s="958"/>
    </row>
    <row r="347" spans="1:19" x14ac:dyDescent="0.25">
      <c r="A347" s="339"/>
      <c r="C347" s="346"/>
      <c r="D347" s="1349"/>
      <c r="E347" s="1349"/>
      <c r="F347" s="346"/>
      <c r="G347" s="1349"/>
      <c r="H347" s="1349"/>
      <c r="I347" s="346"/>
      <c r="J347" s="352"/>
      <c r="K347" s="346"/>
      <c r="L347" s="353"/>
      <c r="M347" s="350" t="str">
        <f t="shared" si="8"/>
        <v/>
      </c>
      <c r="N347" s="351" t="str">
        <f t="shared" si="9"/>
        <v/>
      </c>
      <c r="O347" s="346"/>
      <c r="Q347" s="339"/>
      <c r="S347" s="958"/>
    </row>
    <row r="348" spans="1:19" x14ac:dyDescent="0.25">
      <c r="A348" s="339"/>
      <c r="C348" s="346"/>
      <c r="D348" s="1349"/>
      <c r="E348" s="1349"/>
      <c r="F348" s="346"/>
      <c r="G348" s="1349"/>
      <c r="H348" s="1349"/>
      <c r="I348" s="346"/>
      <c r="J348" s="352"/>
      <c r="K348" s="346"/>
      <c r="L348" s="353"/>
      <c r="M348" s="350" t="str">
        <f t="shared" si="8"/>
        <v/>
      </c>
      <c r="N348" s="351" t="str">
        <f t="shared" si="9"/>
        <v/>
      </c>
      <c r="O348" s="346"/>
      <c r="Q348" s="339"/>
      <c r="S348" s="958"/>
    </row>
    <row r="349" spans="1:19" x14ac:dyDescent="0.25">
      <c r="A349" s="339"/>
      <c r="C349" s="346"/>
      <c r="D349" s="1349"/>
      <c r="E349" s="1349"/>
      <c r="F349" s="346"/>
      <c r="G349" s="1349"/>
      <c r="H349" s="1349"/>
      <c r="I349" s="346"/>
      <c r="J349" s="352"/>
      <c r="K349" s="346"/>
      <c r="L349" s="353"/>
      <c r="M349" s="350" t="str">
        <f t="shared" si="8"/>
        <v/>
      </c>
      <c r="N349" s="351" t="str">
        <f t="shared" si="9"/>
        <v/>
      </c>
      <c r="O349" s="346"/>
      <c r="Q349" s="339"/>
      <c r="S349" s="958"/>
    </row>
    <row r="350" spans="1:19" x14ac:dyDescent="0.25">
      <c r="A350" s="339"/>
      <c r="C350" s="346"/>
      <c r="D350" s="1349"/>
      <c r="E350" s="1349"/>
      <c r="F350" s="346"/>
      <c r="G350" s="1349"/>
      <c r="H350" s="1349"/>
      <c r="I350" s="346"/>
      <c r="J350" s="352"/>
      <c r="K350" s="346"/>
      <c r="L350" s="353"/>
      <c r="M350" s="350" t="str">
        <f t="shared" si="8"/>
        <v/>
      </c>
      <c r="N350" s="351" t="str">
        <f t="shared" si="9"/>
        <v/>
      </c>
      <c r="O350" s="346"/>
      <c r="Q350" s="339"/>
      <c r="S350" s="958"/>
    </row>
    <row r="351" spans="1:19" x14ac:dyDescent="0.25">
      <c r="A351" s="339"/>
      <c r="C351" s="346"/>
      <c r="D351" s="1349"/>
      <c r="E351" s="1349"/>
      <c r="F351" s="346"/>
      <c r="G351" s="1349"/>
      <c r="H351" s="1349"/>
      <c r="I351" s="346"/>
      <c r="J351" s="352"/>
      <c r="K351" s="346"/>
      <c r="L351" s="353"/>
      <c r="M351" s="350" t="str">
        <f t="shared" si="8"/>
        <v/>
      </c>
      <c r="N351" s="351" t="str">
        <f t="shared" si="9"/>
        <v/>
      </c>
      <c r="O351" s="346"/>
      <c r="Q351" s="339"/>
      <c r="S351" s="958"/>
    </row>
    <row r="352" spans="1:19" x14ac:dyDescent="0.25">
      <c r="A352" s="339"/>
      <c r="C352" s="346"/>
      <c r="D352" s="1349"/>
      <c r="E352" s="1349"/>
      <c r="F352" s="346"/>
      <c r="G352" s="1349"/>
      <c r="H352" s="1349"/>
      <c r="I352" s="346"/>
      <c r="J352" s="352"/>
      <c r="K352" s="346"/>
      <c r="L352" s="353"/>
      <c r="M352" s="350" t="str">
        <f t="shared" si="8"/>
        <v/>
      </c>
      <c r="N352" s="351" t="str">
        <f t="shared" si="9"/>
        <v/>
      </c>
      <c r="O352" s="346"/>
      <c r="Q352" s="339"/>
      <c r="S352" s="958"/>
    </row>
    <row r="353" spans="1:19" x14ac:dyDescent="0.25">
      <c r="A353" s="339"/>
      <c r="C353" s="346"/>
      <c r="D353" s="1349"/>
      <c r="E353" s="1349"/>
      <c r="F353" s="346"/>
      <c r="G353" s="1349"/>
      <c r="H353" s="1349"/>
      <c r="I353" s="346"/>
      <c r="J353" s="352"/>
      <c r="K353" s="346"/>
      <c r="L353" s="353"/>
      <c r="M353" s="350" t="str">
        <f t="shared" si="8"/>
        <v/>
      </c>
      <c r="N353" s="351" t="str">
        <f t="shared" si="9"/>
        <v/>
      </c>
      <c r="O353" s="346"/>
      <c r="Q353" s="339"/>
      <c r="S353" s="958"/>
    </row>
    <row r="354" spans="1:19" x14ac:dyDescent="0.25">
      <c r="A354" s="339"/>
      <c r="C354" s="346"/>
      <c r="D354" s="1349"/>
      <c r="E354" s="1349"/>
      <c r="F354" s="346"/>
      <c r="G354" s="1349"/>
      <c r="H354" s="1349"/>
      <c r="I354" s="346"/>
      <c r="J354" s="352"/>
      <c r="K354" s="346"/>
      <c r="L354" s="353"/>
      <c r="M354" s="350" t="str">
        <f t="shared" si="8"/>
        <v/>
      </c>
      <c r="N354" s="351" t="str">
        <f t="shared" si="9"/>
        <v/>
      </c>
      <c r="O354" s="346"/>
      <c r="Q354" s="339"/>
      <c r="S354" s="958"/>
    </row>
    <row r="355" spans="1:19" x14ac:dyDescent="0.25">
      <c r="A355" s="339"/>
      <c r="C355" s="346"/>
      <c r="D355" s="1349"/>
      <c r="E355" s="1349"/>
      <c r="F355" s="346"/>
      <c r="G355" s="1349"/>
      <c r="H355" s="1349"/>
      <c r="I355" s="346"/>
      <c r="J355" s="352"/>
      <c r="K355" s="346"/>
      <c r="L355" s="353"/>
      <c r="M355" s="350" t="str">
        <f t="shared" si="8"/>
        <v/>
      </c>
      <c r="N355" s="351" t="str">
        <f t="shared" si="9"/>
        <v/>
      </c>
      <c r="O355" s="346"/>
      <c r="Q355" s="339"/>
      <c r="S355" s="958"/>
    </row>
    <row r="356" spans="1:19" x14ac:dyDescent="0.25">
      <c r="A356" s="339"/>
      <c r="C356" s="346"/>
      <c r="D356" s="1349"/>
      <c r="E356" s="1349"/>
      <c r="F356" s="346"/>
      <c r="G356" s="1349"/>
      <c r="H356" s="1349"/>
      <c r="I356" s="346"/>
      <c r="J356" s="352"/>
      <c r="K356" s="346"/>
      <c r="L356" s="353"/>
      <c r="M356" s="350" t="str">
        <f t="shared" si="8"/>
        <v/>
      </c>
      <c r="N356" s="351" t="str">
        <f t="shared" si="9"/>
        <v/>
      </c>
      <c r="O356" s="346"/>
      <c r="Q356" s="339"/>
      <c r="S356" s="958"/>
    </row>
    <row r="357" spans="1:19" x14ac:dyDescent="0.25">
      <c r="A357" s="339"/>
      <c r="C357" s="346"/>
      <c r="D357" s="1349"/>
      <c r="E357" s="1349"/>
      <c r="F357" s="346"/>
      <c r="G357" s="1349"/>
      <c r="H357" s="1349"/>
      <c r="I357" s="346"/>
      <c r="J357" s="352"/>
      <c r="K357" s="346"/>
      <c r="L357" s="353"/>
      <c r="M357" s="350" t="str">
        <f t="shared" si="8"/>
        <v/>
      </c>
      <c r="N357" s="351" t="str">
        <f t="shared" si="9"/>
        <v/>
      </c>
      <c r="O357" s="346"/>
      <c r="Q357" s="339"/>
      <c r="S357" s="958"/>
    </row>
    <row r="358" spans="1:19" x14ac:dyDescent="0.25">
      <c r="A358" s="339"/>
      <c r="C358" s="346"/>
      <c r="D358" s="1349"/>
      <c r="E358" s="1349"/>
      <c r="F358" s="346"/>
      <c r="G358" s="1349"/>
      <c r="H358" s="1349"/>
      <c r="I358" s="346"/>
      <c r="J358" s="352"/>
      <c r="K358" s="346"/>
      <c r="L358" s="353"/>
      <c r="M358" s="350" t="str">
        <f t="shared" si="8"/>
        <v/>
      </c>
      <c r="N358" s="351" t="str">
        <f t="shared" si="9"/>
        <v/>
      </c>
      <c r="O358" s="346"/>
      <c r="Q358" s="339"/>
      <c r="S358" s="958"/>
    </row>
    <row r="359" spans="1:19" x14ac:dyDescent="0.25">
      <c r="A359" s="339"/>
      <c r="C359" s="346"/>
      <c r="D359" s="1349"/>
      <c r="E359" s="1349"/>
      <c r="F359" s="346"/>
      <c r="G359" s="1349"/>
      <c r="H359" s="1349"/>
      <c r="I359" s="346"/>
      <c r="J359" s="352"/>
      <c r="K359" s="346"/>
      <c r="L359" s="353"/>
      <c r="M359" s="350" t="str">
        <f t="shared" si="8"/>
        <v/>
      </c>
      <c r="N359" s="351" t="str">
        <f t="shared" si="9"/>
        <v/>
      </c>
      <c r="O359" s="346"/>
      <c r="Q359" s="339"/>
      <c r="S359" s="958"/>
    </row>
    <row r="360" spans="1:19" x14ac:dyDescent="0.25">
      <c r="A360" s="339"/>
      <c r="C360" s="346"/>
      <c r="D360" s="1349"/>
      <c r="E360" s="1349"/>
      <c r="F360" s="346"/>
      <c r="G360" s="1349"/>
      <c r="H360" s="1349"/>
      <c r="I360" s="346"/>
      <c r="J360" s="352"/>
      <c r="K360" s="346"/>
      <c r="L360" s="353"/>
      <c r="M360" s="350" t="str">
        <f t="shared" si="8"/>
        <v/>
      </c>
      <c r="N360" s="351" t="str">
        <f t="shared" si="9"/>
        <v/>
      </c>
      <c r="O360" s="346"/>
      <c r="Q360" s="339"/>
      <c r="S360" s="958"/>
    </row>
    <row r="361" spans="1:19" x14ac:dyDescent="0.25">
      <c r="A361" s="339"/>
      <c r="C361" s="346"/>
      <c r="D361" s="1349"/>
      <c r="E361" s="1349"/>
      <c r="F361" s="346"/>
      <c r="G361" s="1349"/>
      <c r="H361" s="1349"/>
      <c r="I361" s="346"/>
      <c r="J361" s="352"/>
      <c r="K361" s="346"/>
      <c r="L361" s="353"/>
      <c r="M361" s="350" t="str">
        <f t="shared" si="8"/>
        <v/>
      </c>
      <c r="N361" s="351" t="str">
        <f t="shared" si="9"/>
        <v/>
      </c>
      <c r="O361" s="346"/>
      <c r="Q361" s="339"/>
      <c r="S361" s="958"/>
    </row>
    <row r="362" spans="1:19" x14ac:dyDescent="0.25">
      <c r="A362" s="339"/>
      <c r="C362" s="346"/>
      <c r="D362" s="1349"/>
      <c r="E362" s="1349"/>
      <c r="F362" s="346"/>
      <c r="G362" s="1349"/>
      <c r="H362" s="1349"/>
      <c r="I362" s="346"/>
      <c r="J362" s="352"/>
      <c r="K362" s="346"/>
      <c r="L362" s="353"/>
      <c r="M362" s="350" t="str">
        <f t="shared" si="8"/>
        <v/>
      </c>
      <c r="N362" s="351" t="str">
        <f t="shared" si="9"/>
        <v/>
      </c>
      <c r="O362" s="346"/>
      <c r="Q362" s="339"/>
      <c r="S362" s="958"/>
    </row>
    <row r="363" spans="1:19" x14ac:dyDescent="0.25">
      <c r="A363" s="339"/>
      <c r="C363" s="346"/>
      <c r="D363" s="1349"/>
      <c r="E363" s="1349"/>
      <c r="F363" s="346"/>
      <c r="G363" s="1349"/>
      <c r="H363" s="1349"/>
      <c r="I363" s="346"/>
      <c r="J363" s="352"/>
      <c r="K363" s="346"/>
      <c r="L363" s="353"/>
      <c r="M363" s="350" t="str">
        <f t="shared" si="8"/>
        <v/>
      </c>
      <c r="N363" s="351" t="str">
        <f t="shared" si="9"/>
        <v/>
      </c>
      <c r="O363" s="346"/>
      <c r="Q363" s="339"/>
      <c r="S363" s="958"/>
    </row>
    <row r="364" spans="1:19" x14ac:dyDescent="0.25">
      <c r="A364" s="339"/>
      <c r="C364" s="346"/>
      <c r="D364" s="1349"/>
      <c r="E364" s="1349"/>
      <c r="F364" s="346"/>
      <c r="G364" s="1349"/>
      <c r="H364" s="1349"/>
      <c r="I364" s="346"/>
      <c r="J364" s="352"/>
      <c r="K364" s="346"/>
      <c r="L364" s="353"/>
      <c r="M364" s="350" t="str">
        <f t="shared" si="8"/>
        <v/>
      </c>
      <c r="N364" s="351" t="str">
        <f t="shared" si="9"/>
        <v/>
      </c>
      <c r="O364" s="346"/>
      <c r="Q364" s="339"/>
      <c r="S364" s="958"/>
    </row>
    <row r="365" spans="1:19" x14ac:dyDescent="0.25">
      <c r="A365" s="339"/>
      <c r="C365" s="346"/>
      <c r="D365" s="1349"/>
      <c r="E365" s="1349"/>
      <c r="F365" s="346"/>
      <c r="G365" s="1349"/>
      <c r="H365" s="1349"/>
      <c r="I365" s="346"/>
      <c r="J365" s="352"/>
      <c r="K365" s="346"/>
      <c r="L365" s="353"/>
      <c r="M365" s="350" t="str">
        <f t="shared" si="8"/>
        <v/>
      </c>
      <c r="N365" s="351" t="str">
        <f t="shared" si="9"/>
        <v/>
      </c>
      <c r="O365" s="346"/>
      <c r="Q365" s="339"/>
      <c r="S365" s="958"/>
    </row>
    <row r="366" spans="1:19" x14ac:dyDescent="0.25">
      <c r="A366" s="339"/>
      <c r="C366" s="346"/>
      <c r="D366" s="1349"/>
      <c r="E366" s="1349"/>
      <c r="F366" s="346"/>
      <c r="G366" s="1349"/>
      <c r="H366" s="1349"/>
      <c r="I366" s="346"/>
      <c r="J366" s="352"/>
      <c r="K366" s="346"/>
      <c r="L366" s="353"/>
      <c r="M366" s="350" t="str">
        <f t="shared" si="8"/>
        <v/>
      </c>
      <c r="N366" s="351" t="str">
        <f t="shared" si="9"/>
        <v/>
      </c>
      <c r="O366" s="346"/>
      <c r="Q366" s="339"/>
      <c r="S366" s="958"/>
    </row>
    <row r="367" spans="1:19" x14ac:dyDescent="0.25">
      <c r="A367" s="339"/>
      <c r="C367" s="346"/>
      <c r="D367" s="1349"/>
      <c r="E367" s="1349"/>
      <c r="F367" s="346"/>
      <c r="G367" s="1349"/>
      <c r="H367" s="1349"/>
      <c r="I367" s="346"/>
      <c r="J367" s="352"/>
      <c r="K367" s="346"/>
      <c r="L367" s="353"/>
      <c r="M367" s="350" t="str">
        <f t="shared" si="8"/>
        <v/>
      </c>
      <c r="N367" s="351" t="str">
        <f t="shared" si="9"/>
        <v/>
      </c>
      <c r="O367" s="346"/>
      <c r="Q367" s="339"/>
      <c r="S367" s="958"/>
    </row>
    <row r="368" spans="1:19" x14ac:dyDescent="0.25">
      <c r="A368" s="339"/>
      <c r="C368" s="346"/>
      <c r="D368" s="1349"/>
      <c r="E368" s="1349"/>
      <c r="F368" s="346"/>
      <c r="G368" s="1349"/>
      <c r="H368" s="1349"/>
      <c r="I368" s="346"/>
      <c r="J368" s="352"/>
      <c r="K368" s="346"/>
      <c r="L368" s="353"/>
      <c r="M368" s="350" t="str">
        <f t="shared" si="8"/>
        <v/>
      </c>
      <c r="N368" s="351" t="str">
        <f t="shared" si="9"/>
        <v/>
      </c>
      <c r="O368" s="346"/>
      <c r="Q368" s="339"/>
      <c r="S368" s="958"/>
    </row>
    <row r="369" spans="1:19" x14ac:dyDescent="0.25">
      <c r="A369" s="339"/>
      <c r="C369" s="391" t="s">
        <v>82</v>
      </c>
      <c r="D369" s="1350" t="s">
        <v>82</v>
      </c>
      <c r="E369" s="1350"/>
      <c r="F369" s="391" t="s">
        <v>82</v>
      </c>
      <c r="G369" s="1350" t="s">
        <v>82</v>
      </c>
      <c r="H369" s="1350"/>
      <c r="I369" s="391" t="s">
        <v>82</v>
      </c>
      <c r="J369" s="391" t="s">
        <v>82</v>
      </c>
      <c r="K369" s="391" t="s">
        <v>82</v>
      </c>
      <c r="L369" s="391" t="s">
        <v>82</v>
      </c>
      <c r="M369" s="391" t="s">
        <v>82</v>
      </c>
      <c r="N369" s="391" t="s">
        <v>82</v>
      </c>
      <c r="O369" s="391" t="s">
        <v>82</v>
      </c>
      <c r="Q369" s="339"/>
      <c r="S369" s="958"/>
    </row>
    <row r="370" spans="1:19" x14ac:dyDescent="0.25">
      <c r="A370" s="339"/>
      <c r="Q370" s="339"/>
      <c r="S370" s="958"/>
    </row>
    <row r="371" spans="1:19" ht="25.5" customHeight="1" x14ac:dyDescent="0.25">
      <c r="A371" s="339"/>
      <c r="C371" s="1255" t="str">
        <f>Translations!$B$1156</f>
        <v>Please continue by adding further rows as needed (above the "end" markers). This must be done by copying an empty row and inserting it thereafter. A simple "insert row" command will NOT be sufficent.</v>
      </c>
      <c r="D371" s="1255"/>
      <c r="E371" s="1255"/>
      <c r="F371" s="1255"/>
      <c r="G371" s="1255"/>
      <c r="H371" s="1255"/>
      <c r="I371" s="1255"/>
      <c r="J371" s="1255"/>
      <c r="K371" s="1255"/>
      <c r="L371" s="1255"/>
      <c r="M371" s="1255"/>
      <c r="N371" s="1255"/>
      <c r="O371" s="1255"/>
      <c r="Q371" s="339"/>
      <c r="S371" s="958"/>
    </row>
    <row r="372" spans="1:19" x14ac:dyDescent="0.25">
      <c r="A372" s="339"/>
      <c r="Q372" s="339"/>
    </row>
    <row r="373" spans="1:19" x14ac:dyDescent="0.25">
      <c r="A373" s="339"/>
      <c r="B373" s="339"/>
      <c r="C373" s="339"/>
      <c r="D373" s="339"/>
      <c r="E373" s="339"/>
      <c r="F373" s="339"/>
      <c r="G373" s="339"/>
      <c r="H373" s="339"/>
      <c r="I373" s="339"/>
      <c r="J373" s="339"/>
      <c r="K373" s="339"/>
      <c r="L373" s="339"/>
      <c r="M373" s="339"/>
      <c r="N373" s="339"/>
      <c r="O373" s="339"/>
      <c r="P373" s="339"/>
      <c r="Q373" s="339"/>
    </row>
  </sheetData>
  <sheetProtection sheet="1" objects="1" scenarios="1" formatCells="0" formatColumns="0" formatRows="0" insertColumns="0" insertRows="0"/>
  <mergeCells count="693">
    <mergeCell ref="C371:O371"/>
    <mergeCell ref="C2:O3"/>
    <mergeCell ref="C14:M14"/>
    <mergeCell ref="C15:L15"/>
    <mergeCell ref="M15:N15"/>
    <mergeCell ref="C16:L16"/>
    <mergeCell ref="M16:N16"/>
    <mergeCell ref="C24:G24"/>
    <mergeCell ref="H24:N24"/>
    <mergeCell ref="C8:O8"/>
    <mergeCell ref="C9:O9"/>
    <mergeCell ref="C10:O10"/>
    <mergeCell ref="C11:O11"/>
    <mergeCell ref="C5:M5"/>
    <mergeCell ref="N5:O5"/>
    <mergeCell ref="C4:O4"/>
    <mergeCell ref="C6:O6"/>
    <mergeCell ref="C25:G25"/>
    <mergeCell ref="H25:N25"/>
    <mergeCell ref="C26:G26"/>
    <mergeCell ref="H26:N26"/>
    <mergeCell ref="C17:L17"/>
    <mergeCell ref="M17:N17"/>
    <mergeCell ref="C18:L18"/>
    <mergeCell ref="M18:N18"/>
    <mergeCell ref="C19:L19"/>
    <mergeCell ref="M19:N19"/>
    <mergeCell ref="C20:O20"/>
    <mergeCell ref="E34:F34"/>
    <mergeCell ref="G34:I34"/>
    <mergeCell ref="J34:K34"/>
    <mergeCell ref="L34:M34"/>
    <mergeCell ref="E35:F35"/>
    <mergeCell ref="G35:I35"/>
    <mergeCell ref="J35:K35"/>
    <mergeCell ref="L35:M35"/>
    <mergeCell ref="C27:G27"/>
    <mergeCell ref="H27:N27"/>
    <mergeCell ref="C31:F31"/>
    <mergeCell ref="G31:I33"/>
    <mergeCell ref="J31:K33"/>
    <mergeCell ref="L31:M33"/>
    <mergeCell ref="C32:C33"/>
    <mergeCell ref="D32:D33"/>
    <mergeCell ref="E32:F33"/>
    <mergeCell ref="N31:N33"/>
    <mergeCell ref="C30:O30"/>
    <mergeCell ref="C43:O43"/>
    <mergeCell ref="C44:O44"/>
    <mergeCell ref="E38:F38"/>
    <mergeCell ref="G38:I38"/>
    <mergeCell ref="J38:K38"/>
    <mergeCell ref="L38:M38"/>
    <mergeCell ref="C39:K39"/>
    <mergeCell ref="L39:M39"/>
    <mergeCell ref="E36:F36"/>
    <mergeCell ref="G36:I36"/>
    <mergeCell ref="J36:K36"/>
    <mergeCell ref="L36:M36"/>
    <mergeCell ref="E37:F37"/>
    <mergeCell ref="G37:I37"/>
    <mergeCell ref="J37:K37"/>
    <mergeCell ref="L37:M37"/>
    <mergeCell ref="N65:N69"/>
    <mergeCell ref="O65:O69"/>
    <mergeCell ref="C67:C69"/>
    <mergeCell ref="D67:E69"/>
    <mergeCell ref="F67:F69"/>
    <mergeCell ref="G67:H69"/>
    <mergeCell ref="C65:E66"/>
    <mergeCell ref="F65:H66"/>
    <mergeCell ref="I65:I69"/>
    <mergeCell ref="J65:J69"/>
    <mergeCell ref="K65:K69"/>
    <mergeCell ref="L65:L69"/>
    <mergeCell ref="M65:M69"/>
    <mergeCell ref="D73:E73"/>
    <mergeCell ref="G73:H73"/>
    <mergeCell ref="D74:E74"/>
    <mergeCell ref="G74:H74"/>
    <mergeCell ref="D75:E75"/>
    <mergeCell ref="G75:H75"/>
    <mergeCell ref="D70:E70"/>
    <mergeCell ref="G70:H70"/>
    <mergeCell ref="D71:E71"/>
    <mergeCell ref="G71:H71"/>
    <mergeCell ref="D72:E72"/>
    <mergeCell ref="G72:H72"/>
    <mergeCell ref="D79:E79"/>
    <mergeCell ref="G79:H79"/>
    <mergeCell ref="D80:E80"/>
    <mergeCell ref="G80:H80"/>
    <mergeCell ref="D81:E81"/>
    <mergeCell ref="G81:H81"/>
    <mergeCell ref="D76:E76"/>
    <mergeCell ref="G76:H76"/>
    <mergeCell ref="D77:E77"/>
    <mergeCell ref="G77:H77"/>
    <mergeCell ref="D78:E78"/>
    <mergeCell ref="G78:H78"/>
    <mergeCell ref="D85:E85"/>
    <mergeCell ref="G85:H85"/>
    <mergeCell ref="D86:E86"/>
    <mergeCell ref="G86:H86"/>
    <mergeCell ref="D87:E87"/>
    <mergeCell ref="G87:H87"/>
    <mergeCell ref="D82:E82"/>
    <mergeCell ref="G82:H82"/>
    <mergeCell ref="D83:E83"/>
    <mergeCell ref="G83:H83"/>
    <mergeCell ref="D84:E84"/>
    <mergeCell ref="G84:H84"/>
    <mergeCell ref="D94:E94"/>
    <mergeCell ref="G94:H94"/>
    <mergeCell ref="D91:E91"/>
    <mergeCell ref="G91:H91"/>
    <mergeCell ref="D92:E92"/>
    <mergeCell ref="G92:H92"/>
    <mergeCell ref="D93:E93"/>
    <mergeCell ref="G93:H93"/>
    <mergeCell ref="D88:E88"/>
    <mergeCell ref="G88:H88"/>
    <mergeCell ref="D89:E89"/>
    <mergeCell ref="G89:H89"/>
    <mergeCell ref="D90:E90"/>
    <mergeCell ref="G90:H90"/>
    <mergeCell ref="D95:E95"/>
    <mergeCell ref="G95:H95"/>
    <mergeCell ref="D96:E96"/>
    <mergeCell ref="G96:H96"/>
    <mergeCell ref="D97:E97"/>
    <mergeCell ref="G97:H97"/>
    <mergeCell ref="D98:E98"/>
    <mergeCell ref="G98:H98"/>
    <mergeCell ref="D99:E99"/>
    <mergeCell ref="G99:H99"/>
    <mergeCell ref="D100:E100"/>
    <mergeCell ref="G100:H100"/>
    <mergeCell ref="D101:E101"/>
    <mergeCell ref="G101:H101"/>
    <mergeCell ref="D102:E102"/>
    <mergeCell ref="G102:H102"/>
    <mergeCell ref="D103:E103"/>
    <mergeCell ref="G103:H103"/>
    <mergeCell ref="D104:E104"/>
    <mergeCell ref="G104:H104"/>
    <mergeCell ref="D105:E105"/>
    <mergeCell ref="G105:H105"/>
    <mergeCell ref="D106:E106"/>
    <mergeCell ref="G106:H106"/>
    <mergeCell ref="D107:E107"/>
    <mergeCell ref="G107:H107"/>
    <mergeCell ref="D108:E108"/>
    <mergeCell ref="G108:H108"/>
    <mergeCell ref="D109:E109"/>
    <mergeCell ref="G109:H109"/>
    <mergeCell ref="D110:E110"/>
    <mergeCell ref="G110:H110"/>
    <mergeCell ref="D111:E111"/>
    <mergeCell ref="G111:H111"/>
    <mergeCell ref="D112:E112"/>
    <mergeCell ref="G112:H112"/>
    <mergeCell ref="D113:E113"/>
    <mergeCell ref="G113:H113"/>
    <mergeCell ref="D114:E114"/>
    <mergeCell ref="G114:H114"/>
    <mergeCell ref="D115:E115"/>
    <mergeCell ref="G115:H115"/>
    <mergeCell ref="D116:E116"/>
    <mergeCell ref="G116:H116"/>
    <mergeCell ref="D117:E117"/>
    <mergeCell ref="G117:H117"/>
    <mergeCell ref="D118:E118"/>
    <mergeCell ref="G118:H118"/>
    <mergeCell ref="D119:E119"/>
    <mergeCell ref="G119:H119"/>
    <mergeCell ref="D120:E120"/>
    <mergeCell ref="G120:H120"/>
    <mergeCell ref="D121:E121"/>
    <mergeCell ref="G121:H121"/>
    <mergeCell ref="D122:E122"/>
    <mergeCell ref="G122:H122"/>
    <mergeCell ref="D123:E123"/>
    <mergeCell ref="G123:H123"/>
    <mergeCell ref="D124:E124"/>
    <mergeCell ref="G124:H124"/>
    <mergeCell ref="D125:E125"/>
    <mergeCell ref="G125:H125"/>
    <mergeCell ref="D126:E126"/>
    <mergeCell ref="G126:H126"/>
    <mergeCell ref="D127:E127"/>
    <mergeCell ref="G127:H127"/>
    <mergeCell ref="D128:E128"/>
    <mergeCell ref="G128:H128"/>
    <mergeCell ref="D129:E129"/>
    <mergeCell ref="G129:H129"/>
    <mergeCell ref="D130:E130"/>
    <mergeCell ref="G130:H130"/>
    <mergeCell ref="D131:E131"/>
    <mergeCell ref="G131:H131"/>
    <mergeCell ref="D132:E132"/>
    <mergeCell ref="G132:H132"/>
    <mergeCell ref="D133:E133"/>
    <mergeCell ref="G133:H133"/>
    <mergeCell ref="D134:E134"/>
    <mergeCell ref="G134:H134"/>
    <mergeCell ref="D135:E135"/>
    <mergeCell ref="G135:H135"/>
    <mergeCell ref="D136:E136"/>
    <mergeCell ref="G136:H136"/>
    <mergeCell ref="D137:E137"/>
    <mergeCell ref="G137:H137"/>
    <mergeCell ref="D138:E138"/>
    <mergeCell ref="G138:H138"/>
    <mergeCell ref="D139:E139"/>
    <mergeCell ref="G139:H139"/>
    <mergeCell ref="D140:E140"/>
    <mergeCell ref="G140:H140"/>
    <mergeCell ref="D141:E141"/>
    <mergeCell ref="G141:H141"/>
    <mergeCell ref="D142:E142"/>
    <mergeCell ref="G142:H142"/>
    <mergeCell ref="D143:E143"/>
    <mergeCell ref="G143:H143"/>
    <mergeCell ref="D144:E144"/>
    <mergeCell ref="G144:H144"/>
    <mergeCell ref="D145:E145"/>
    <mergeCell ref="G145:H145"/>
    <mergeCell ref="D146:E146"/>
    <mergeCell ref="G146:H146"/>
    <mergeCell ref="D147:E147"/>
    <mergeCell ref="G147:H147"/>
    <mergeCell ref="D148:E148"/>
    <mergeCell ref="G148:H148"/>
    <mergeCell ref="D149:E149"/>
    <mergeCell ref="G149:H149"/>
    <mergeCell ref="D150:E150"/>
    <mergeCell ref="G150:H150"/>
    <mergeCell ref="D151:E151"/>
    <mergeCell ref="G151:H151"/>
    <mergeCell ref="D152:E152"/>
    <mergeCell ref="G152:H152"/>
    <mergeCell ref="D153:E153"/>
    <mergeCell ref="G153:H153"/>
    <mergeCell ref="D154:E154"/>
    <mergeCell ref="G154:H154"/>
    <mergeCell ref="D155:E155"/>
    <mergeCell ref="G155:H155"/>
    <mergeCell ref="D156:E156"/>
    <mergeCell ref="G156:H156"/>
    <mergeCell ref="D157:E157"/>
    <mergeCell ref="G157:H157"/>
    <mergeCell ref="D158:E158"/>
    <mergeCell ref="G158:H158"/>
    <mergeCell ref="D159:E159"/>
    <mergeCell ref="G159:H159"/>
    <mergeCell ref="D160:E160"/>
    <mergeCell ref="G160:H160"/>
    <mergeCell ref="D161:E161"/>
    <mergeCell ref="G161:H161"/>
    <mergeCell ref="D162:E162"/>
    <mergeCell ref="G162:H162"/>
    <mergeCell ref="D163:E163"/>
    <mergeCell ref="G163:H163"/>
    <mergeCell ref="D164:E164"/>
    <mergeCell ref="G164:H164"/>
    <mergeCell ref="D165:E165"/>
    <mergeCell ref="G165:H165"/>
    <mergeCell ref="D166:E166"/>
    <mergeCell ref="G166:H166"/>
    <mergeCell ref="D167:E167"/>
    <mergeCell ref="G167:H167"/>
    <mergeCell ref="D168:E168"/>
    <mergeCell ref="G168:H168"/>
    <mergeCell ref="D169:E169"/>
    <mergeCell ref="G169:H169"/>
    <mergeCell ref="D170:E170"/>
    <mergeCell ref="G170:H170"/>
    <mergeCell ref="D171:E171"/>
    <mergeCell ref="G171:H171"/>
    <mergeCell ref="D172:E172"/>
    <mergeCell ref="G172:H172"/>
    <mergeCell ref="D173:E173"/>
    <mergeCell ref="G173:H173"/>
    <mergeCell ref="D174:E174"/>
    <mergeCell ref="G174:H174"/>
    <mergeCell ref="D175:E175"/>
    <mergeCell ref="G175:H175"/>
    <mergeCell ref="D176:E176"/>
    <mergeCell ref="G176:H176"/>
    <mergeCell ref="D177:E177"/>
    <mergeCell ref="G177:H177"/>
    <mergeCell ref="D178:E178"/>
    <mergeCell ref="G178:H178"/>
    <mergeCell ref="D179:E179"/>
    <mergeCell ref="G179:H179"/>
    <mergeCell ref="D180:E180"/>
    <mergeCell ref="G180:H180"/>
    <mergeCell ref="D181:E181"/>
    <mergeCell ref="G181:H181"/>
    <mergeCell ref="D182:E182"/>
    <mergeCell ref="G182:H182"/>
    <mergeCell ref="D183:E183"/>
    <mergeCell ref="G183:H183"/>
    <mergeCell ref="D184:E184"/>
    <mergeCell ref="G184:H184"/>
    <mergeCell ref="D185:E185"/>
    <mergeCell ref="G185:H185"/>
    <mergeCell ref="D186:E186"/>
    <mergeCell ref="G186:H186"/>
    <mergeCell ref="D187:E187"/>
    <mergeCell ref="G187:H187"/>
    <mergeCell ref="D188:E188"/>
    <mergeCell ref="G188:H188"/>
    <mergeCell ref="D189:E189"/>
    <mergeCell ref="G189:H189"/>
    <mergeCell ref="D190:E190"/>
    <mergeCell ref="G190:H190"/>
    <mergeCell ref="D191:E191"/>
    <mergeCell ref="G191:H191"/>
    <mergeCell ref="D192:E192"/>
    <mergeCell ref="G192:H192"/>
    <mergeCell ref="D193:E193"/>
    <mergeCell ref="G193:H193"/>
    <mergeCell ref="D194:E194"/>
    <mergeCell ref="G194:H194"/>
    <mergeCell ref="D195:E195"/>
    <mergeCell ref="G195:H195"/>
    <mergeCell ref="D196:E196"/>
    <mergeCell ref="G196:H196"/>
    <mergeCell ref="D197:E197"/>
    <mergeCell ref="G197:H197"/>
    <mergeCell ref="D198:E198"/>
    <mergeCell ref="G198:H198"/>
    <mergeCell ref="D199:E199"/>
    <mergeCell ref="G199:H199"/>
    <mergeCell ref="D200:E200"/>
    <mergeCell ref="G200:H200"/>
    <mergeCell ref="D201:E201"/>
    <mergeCell ref="G201:H201"/>
    <mergeCell ref="D202:E202"/>
    <mergeCell ref="G202:H202"/>
    <mergeCell ref="D203:E203"/>
    <mergeCell ref="G203:H203"/>
    <mergeCell ref="D204:E204"/>
    <mergeCell ref="G204:H204"/>
    <mergeCell ref="D205:E205"/>
    <mergeCell ref="G205:H205"/>
    <mergeCell ref="D206:E206"/>
    <mergeCell ref="G206:H206"/>
    <mergeCell ref="D207:E207"/>
    <mergeCell ref="G207:H207"/>
    <mergeCell ref="D208:E208"/>
    <mergeCell ref="G208:H208"/>
    <mergeCell ref="D209:E209"/>
    <mergeCell ref="G209:H209"/>
    <mergeCell ref="D210:E210"/>
    <mergeCell ref="G210:H210"/>
    <mergeCell ref="D211:E211"/>
    <mergeCell ref="G211:H211"/>
    <mergeCell ref="D212:E212"/>
    <mergeCell ref="G212:H212"/>
    <mergeCell ref="D213:E213"/>
    <mergeCell ref="G213:H213"/>
    <mergeCell ref="D214:E214"/>
    <mergeCell ref="G214:H214"/>
    <mergeCell ref="D215:E215"/>
    <mergeCell ref="G215:H215"/>
    <mergeCell ref="D216:E216"/>
    <mergeCell ref="G216:H216"/>
    <mergeCell ref="D217:E217"/>
    <mergeCell ref="G217:H217"/>
    <mergeCell ref="D218:E218"/>
    <mergeCell ref="G218:H218"/>
    <mergeCell ref="D219:E219"/>
    <mergeCell ref="G219:H219"/>
    <mergeCell ref="D220:E220"/>
    <mergeCell ref="G220:H220"/>
    <mergeCell ref="D221:E221"/>
    <mergeCell ref="G221:H221"/>
    <mergeCell ref="D222:E222"/>
    <mergeCell ref="G222:H222"/>
    <mergeCell ref="D223:E223"/>
    <mergeCell ref="G223:H223"/>
    <mergeCell ref="D224:E224"/>
    <mergeCell ref="G224:H224"/>
    <mergeCell ref="D225:E225"/>
    <mergeCell ref="G225:H225"/>
    <mergeCell ref="D226:E226"/>
    <mergeCell ref="G226:H226"/>
    <mergeCell ref="D227:E227"/>
    <mergeCell ref="G227:H227"/>
    <mergeCell ref="D228:E228"/>
    <mergeCell ref="G228:H228"/>
    <mergeCell ref="D229:E229"/>
    <mergeCell ref="G229:H229"/>
    <mergeCell ref="D230:E230"/>
    <mergeCell ref="G230:H230"/>
    <mergeCell ref="D231:E231"/>
    <mergeCell ref="G231:H231"/>
    <mergeCell ref="D232:E232"/>
    <mergeCell ref="G232:H232"/>
    <mergeCell ref="D233:E233"/>
    <mergeCell ref="G233:H233"/>
    <mergeCell ref="D234:E234"/>
    <mergeCell ref="G234:H234"/>
    <mergeCell ref="D235:E235"/>
    <mergeCell ref="G235:H235"/>
    <mergeCell ref="D236:E236"/>
    <mergeCell ref="G236:H236"/>
    <mergeCell ref="D237:E237"/>
    <mergeCell ref="G237:H237"/>
    <mergeCell ref="D238:E238"/>
    <mergeCell ref="G238:H238"/>
    <mergeCell ref="D239:E239"/>
    <mergeCell ref="G239:H239"/>
    <mergeCell ref="D240:E240"/>
    <mergeCell ref="G240:H240"/>
    <mergeCell ref="D241:E241"/>
    <mergeCell ref="G241:H241"/>
    <mergeCell ref="D242:E242"/>
    <mergeCell ref="G242:H242"/>
    <mergeCell ref="D243:E243"/>
    <mergeCell ref="G243:H243"/>
    <mergeCell ref="D244:E244"/>
    <mergeCell ref="G244:H244"/>
    <mergeCell ref="D245:E245"/>
    <mergeCell ref="G245:H245"/>
    <mergeCell ref="D246:E246"/>
    <mergeCell ref="G246:H246"/>
    <mergeCell ref="D247:E247"/>
    <mergeCell ref="G247:H247"/>
    <mergeCell ref="D248:E248"/>
    <mergeCell ref="G248:H248"/>
    <mergeCell ref="D249:E249"/>
    <mergeCell ref="G249:H249"/>
    <mergeCell ref="D250:E250"/>
    <mergeCell ref="G250:H250"/>
    <mergeCell ref="D251:E251"/>
    <mergeCell ref="G251:H251"/>
    <mergeCell ref="D252:E252"/>
    <mergeCell ref="G252:H252"/>
    <mergeCell ref="D253:E253"/>
    <mergeCell ref="G253:H253"/>
    <mergeCell ref="D254:E254"/>
    <mergeCell ref="G254:H254"/>
    <mergeCell ref="D255:E255"/>
    <mergeCell ref="G255:H255"/>
    <mergeCell ref="D256:E256"/>
    <mergeCell ref="G256:H256"/>
    <mergeCell ref="D257:E257"/>
    <mergeCell ref="G257:H257"/>
    <mergeCell ref="D258:E258"/>
    <mergeCell ref="G258:H258"/>
    <mergeCell ref="D259:E259"/>
    <mergeCell ref="G259:H259"/>
    <mergeCell ref="D260:E260"/>
    <mergeCell ref="G260:H260"/>
    <mergeCell ref="D261:E261"/>
    <mergeCell ref="G261:H261"/>
    <mergeCell ref="D262:E262"/>
    <mergeCell ref="G262:H262"/>
    <mergeCell ref="D263:E263"/>
    <mergeCell ref="G263:H263"/>
    <mergeCell ref="D264:E264"/>
    <mergeCell ref="G264:H264"/>
    <mergeCell ref="D265:E265"/>
    <mergeCell ref="G265:H265"/>
    <mergeCell ref="D266:E266"/>
    <mergeCell ref="G266:H266"/>
    <mergeCell ref="D267:E267"/>
    <mergeCell ref="G267:H267"/>
    <mergeCell ref="D268:E268"/>
    <mergeCell ref="G268:H268"/>
    <mergeCell ref="D269:E269"/>
    <mergeCell ref="G269:H269"/>
    <mergeCell ref="D270:E270"/>
    <mergeCell ref="G270:H270"/>
    <mergeCell ref="D271:E271"/>
    <mergeCell ref="G271:H271"/>
    <mergeCell ref="D272:E272"/>
    <mergeCell ref="G272:H272"/>
    <mergeCell ref="D273:E273"/>
    <mergeCell ref="G273:H273"/>
    <mergeCell ref="D274:E274"/>
    <mergeCell ref="G274:H274"/>
    <mergeCell ref="D275:E275"/>
    <mergeCell ref="G275:H275"/>
    <mergeCell ref="D276:E276"/>
    <mergeCell ref="G276:H276"/>
    <mergeCell ref="D277:E277"/>
    <mergeCell ref="G277:H277"/>
    <mergeCell ref="D278:E278"/>
    <mergeCell ref="G278:H278"/>
    <mergeCell ref="D279:E279"/>
    <mergeCell ref="G279:H279"/>
    <mergeCell ref="D280:E280"/>
    <mergeCell ref="G280:H280"/>
    <mergeCell ref="D281:E281"/>
    <mergeCell ref="G281:H281"/>
    <mergeCell ref="D282:E282"/>
    <mergeCell ref="G282:H282"/>
    <mergeCell ref="D283:E283"/>
    <mergeCell ref="G283:H283"/>
    <mergeCell ref="D284:E284"/>
    <mergeCell ref="G284:H284"/>
    <mergeCell ref="D285:E285"/>
    <mergeCell ref="G285:H285"/>
    <mergeCell ref="D286:E286"/>
    <mergeCell ref="G286:H286"/>
    <mergeCell ref="D287:E287"/>
    <mergeCell ref="G287:H287"/>
    <mergeCell ref="D288:E288"/>
    <mergeCell ref="G288:H288"/>
    <mergeCell ref="D289:E289"/>
    <mergeCell ref="G289:H289"/>
    <mergeCell ref="D290:E290"/>
    <mergeCell ref="G290:H290"/>
    <mergeCell ref="D291:E291"/>
    <mergeCell ref="G291:H291"/>
    <mergeCell ref="D292:E292"/>
    <mergeCell ref="G292:H292"/>
    <mergeCell ref="D293:E293"/>
    <mergeCell ref="G293:H293"/>
    <mergeCell ref="D294:E294"/>
    <mergeCell ref="G294:H294"/>
    <mergeCell ref="D295:E295"/>
    <mergeCell ref="G295:H295"/>
    <mergeCell ref="D296:E296"/>
    <mergeCell ref="G296:H296"/>
    <mergeCell ref="D297:E297"/>
    <mergeCell ref="G297:H297"/>
    <mergeCell ref="D298:E298"/>
    <mergeCell ref="G298:H298"/>
    <mergeCell ref="D299:E299"/>
    <mergeCell ref="G299:H299"/>
    <mergeCell ref="D300:E300"/>
    <mergeCell ref="G300:H300"/>
    <mergeCell ref="D301:E301"/>
    <mergeCell ref="G301:H301"/>
    <mergeCell ref="D302:E302"/>
    <mergeCell ref="G302:H302"/>
    <mergeCell ref="D303:E303"/>
    <mergeCell ref="G303:H303"/>
    <mergeCell ref="D304:E304"/>
    <mergeCell ref="G304:H304"/>
    <mergeCell ref="D305:E305"/>
    <mergeCell ref="G305:H305"/>
    <mergeCell ref="D306:E306"/>
    <mergeCell ref="G306:H306"/>
    <mergeCell ref="D307:E307"/>
    <mergeCell ref="G307:H307"/>
    <mergeCell ref="D308:E308"/>
    <mergeCell ref="G308:H308"/>
    <mergeCell ref="D309:E309"/>
    <mergeCell ref="G309:H309"/>
    <mergeCell ref="D310:E310"/>
    <mergeCell ref="G310:H310"/>
    <mergeCell ref="D311:E311"/>
    <mergeCell ref="G311:H311"/>
    <mergeCell ref="D312:E312"/>
    <mergeCell ref="G312:H312"/>
    <mergeCell ref="D313:E313"/>
    <mergeCell ref="G313:H313"/>
    <mergeCell ref="D314:E314"/>
    <mergeCell ref="G314:H314"/>
    <mergeCell ref="D315:E315"/>
    <mergeCell ref="G315:H315"/>
    <mergeCell ref="D316:E316"/>
    <mergeCell ref="G316:H316"/>
    <mergeCell ref="D317:E317"/>
    <mergeCell ref="G317:H317"/>
    <mergeCell ref="D318:E318"/>
    <mergeCell ref="G318:H318"/>
    <mergeCell ref="D319:E319"/>
    <mergeCell ref="G319:H319"/>
    <mergeCell ref="D320:E320"/>
    <mergeCell ref="G320:H320"/>
    <mergeCell ref="D321:E321"/>
    <mergeCell ref="G321:H321"/>
    <mergeCell ref="D322:E322"/>
    <mergeCell ref="G322:H322"/>
    <mergeCell ref="D323:E323"/>
    <mergeCell ref="G323:H323"/>
    <mergeCell ref="D324:E324"/>
    <mergeCell ref="G324:H324"/>
    <mergeCell ref="D325:E325"/>
    <mergeCell ref="G325:H325"/>
    <mergeCell ref="D326:E326"/>
    <mergeCell ref="G326:H326"/>
    <mergeCell ref="D327:E327"/>
    <mergeCell ref="G327:H327"/>
    <mergeCell ref="D328:E328"/>
    <mergeCell ref="G328:H328"/>
    <mergeCell ref="D329:E329"/>
    <mergeCell ref="G329:H329"/>
    <mergeCell ref="D330:E330"/>
    <mergeCell ref="G330:H330"/>
    <mergeCell ref="D331:E331"/>
    <mergeCell ref="G331:H331"/>
    <mergeCell ref="D332:E332"/>
    <mergeCell ref="G332:H332"/>
    <mergeCell ref="D333:E333"/>
    <mergeCell ref="G333:H333"/>
    <mergeCell ref="D334:E334"/>
    <mergeCell ref="G334:H334"/>
    <mergeCell ref="D335:E335"/>
    <mergeCell ref="G335:H335"/>
    <mergeCell ref="D336:E336"/>
    <mergeCell ref="G336:H336"/>
    <mergeCell ref="D337:E337"/>
    <mergeCell ref="G337:H337"/>
    <mergeCell ref="D338:E338"/>
    <mergeCell ref="G338:H338"/>
    <mergeCell ref="D339:E339"/>
    <mergeCell ref="G339:H339"/>
    <mergeCell ref="D340:E340"/>
    <mergeCell ref="G340:H340"/>
    <mergeCell ref="D341:E341"/>
    <mergeCell ref="G341:H341"/>
    <mergeCell ref="D342:E342"/>
    <mergeCell ref="G342:H342"/>
    <mergeCell ref="D343:E343"/>
    <mergeCell ref="G343:H343"/>
    <mergeCell ref="D344:E344"/>
    <mergeCell ref="G344:H344"/>
    <mergeCell ref="D345:E345"/>
    <mergeCell ref="G345:H345"/>
    <mergeCell ref="D346:E346"/>
    <mergeCell ref="G346:H346"/>
    <mergeCell ref="D347:E347"/>
    <mergeCell ref="G347:H347"/>
    <mergeCell ref="D348:E348"/>
    <mergeCell ref="G348:H348"/>
    <mergeCell ref="D349:E349"/>
    <mergeCell ref="G349:H349"/>
    <mergeCell ref="D352:E352"/>
    <mergeCell ref="D366:E366"/>
    <mergeCell ref="G366:H366"/>
    <mergeCell ref="D367:E367"/>
    <mergeCell ref="G367:H367"/>
    <mergeCell ref="D368:E368"/>
    <mergeCell ref="G368:H368"/>
    <mergeCell ref="D369:E369"/>
    <mergeCell ref="G369:H369"/>
    <mergeCell ref="D360:E360"/>
    <mergeCell ref="G360:H360"/>
    <mergeCell ref="D361:E361"/>
    <mergeCell ref="G361:H361"/>
    <mergeCell ref="D362:E362"/>
    <mergeCell ref="G362:H362"/>
    <mergeCell ref="D363:E363"/>
    <mergeCell ref="G363:H363"/>
    <mergeCell ref="D364:E364"/>
    <mergeCell ref="G364:H364"/>
    <mergeCell ref="G352:H352"/>
    <mergeCell ref="D353:E353"/>
    <mergeCell ref="G353:H353"/>
    <mergeCell ref="D354:E354"/>
    <mergeCell ref="G354:H354"/>
    <mergeCell ref="C58:O58"/>
    <mergeCell ref="C59:O59"/>
    <mergeCell ref="C60:O60"/>
    <mergeCell ref="C61:O61"/>
    <mergeCell ref="C62:O62"/>
    <mergeCell ref="K63:N63"/>
    <mergeCell ref="C54:I54"/>
    <mergeCell ref="C7:O7"/>
    <mergeCell ref="D365:E365"/>
    <mergeCell ref="G365:H365"/>
    <mergeCell ref="D355:E355"/>
    <mergeCell ref="G355:H355"/>
    <mergeCell ref="D356:E356"/>
    <mergeCell ref="G356:H356"/>
    <mergeCell ref="D357:E357"/>
    <mergeCell ref="G357:H357"/>
    <mergeCell ref="D358:E358"/>
    <mergeCell ref="G358:H358"/>
    <mergeCell ref="D359:E359"/>
    <mergeCell ref="G359:H359"/>
    <mergeCell ref="D350:E350"/>
    <mergeCell ref="G350:H350"/>
    <mergeCell ref="D351:E351"/>
    <mergeCell ref="G351:H351"/>
    <mergeCell ref="C45:O45"/>
    <mergeCell ref="C46:O46"/>
    <mergeCell ref="C47:O47"/>
    <mergeCell ref="C48:O48"/>
    <mergeCell ref="C49:O49"/>
    <mergeCell ref="C52:M52"/>
    <mergeCell ref="C55:O55"/>
    <mergeCell ref="C56:O56"/>
    <mergeCell ref="C57:O57"/>
  </mergeCells>
  <conditionalFormatting sqref="B5:P372">
    <cfRule type="expression" dxfId="29" priority="1">
      <formula>CONTR_CORSIAapplied=FALSE</formula>
    </cfRule>
  </conditionalFormatting>
  <conditionalFormatting sqref="C56:O60 K63">
    <cfRule type="expression" dxfId="28" priority="2">
      <formula>INDICATOR_CORSIAAnnexConfidentialReasonFromETS=TRUE</formula>
    </cfRule>
  </conditionalFormatting>
  <conditionalFormatting sqref="N52 C56:G60 K63">
    <cfRule type="expression" dxfId="27" priority="4">
      <formula>AND(NOT(ISBLANK(INDICATOR_CORSIAAnnexConfidential)),INDICATOR_CORSIAAnnexConfidential=FALSE)</formula>
    </cfRule>
  </conditionalFormatting>
  <dataValidations count="5">
    <dataValidation type="list" allowBlank="1" showInputMessage="1" showErrorMessage="1" sqref="C34:C38 K70:K368" xr:uid="{00000000-0002-0000-0B00-000000000000}">
      <formula1>CORSIA_FuelsList</formula1>
    </dataValidation>
    <dataValidation type="list" allowBlank="1" showInputMessage="1" showErrorMessage="1" sqref="N5:O5" xr:uid="{00000000-0002-0000-0B00-000001000000}">
      <formula1>EF_SystemSelection</formula1>
    </dataValidation>
    <dataValidation type="list" allowBlank="1" showInputMessage="1" showErrorMessage="1" sqref="I70:I368 O70:O368 N50 G51 N52" xr:uid="{00000000-0002-0000-0B00-000002000000}">
      <formula1>TrueFalse</formula1>
    </dataValidation>
    <dataValidation type="list" allowBlank="1" showInputMessage="1" showErrorMessage="1" sqref="D369:E369 G369:H369" xr:uid="{00000000-0002-0000-0B00-000003000000}">
      <formula1>worldcountries</formula1>
    </dataValidation>
    <dataValidation type="list" allowBlank="1" showInputMessage="1" showErrorMessage="1" sqref="D70:E368 G70:H368" xr:uid="{00000000-0002-0000-0B00-000004000000}">
      <formula1>ICAO_MSList</formula1>
    </dataValidation>
  </dataValidations>
  <hyperlinks>
    <hyperlink ref="C54:I54" location="JUMP_11a" display="Click here to check content of section (11)(a)" xr:uid="{00000000-0004-0000-0B00-000000000000}"/>
  </hyperlinks>
  <pageMargins left="0.70866141732283472" right="0.70866141732283472" top="0.78740157480314965" bottom="0.78740157480314965" header="0.31496062992125984" footer="0.31496062992125984"/>
  <pageSetup paperSize="9" scale="61" fitToHeight="10" orientation="portrait" r:id="rId1"/>
  <headerFooter>
    <oddFooter>&amp;L&amp;F&amp;C&amp;A&amp;R&amp;P /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10"/>
    <pageSetUpPr fitToPage="1"/>
  </sheetPr>
  <dimension ref="A1:H978"/>
  <sheetViews>
    <sheetView topLeftCell="A939" zoomScaleNormal="100" workbookViewId="0">
      <selection activeCell="B978" sqref="B978"/>
    </sheetView>
  </sheetViews>
  <sheetFormatPr defaultColWidth="11.44140625" defaultRowHeight="13.2" x14ac:dyDescent="0.25"/>
  <cols>
    <col min="1" max="1" width="33.44140625" customWidth="1"/>
    <col min="2" max="2" width="34.5546875" customWidth="1"/>
    <col min="3" max="3" width="32.109375" customWidth="1"/>
  </cols>
  <sheetData>
    <row r="1" spans="1:6" x14ac:dyDescent="0.25">
      <c r="A1" s="21" t="s">
        <v>275</v>
      </c>
      <c r="C1" s="1400" t="s">
        <v>276</v>
      </c>
      <c r="D1" s="1401"/>
      <c r="E1" s="1398" t="str">
        <f ca="1">IF(ISERROR(CELL("filename",D1)),"Lists",MID(CELL("filename",D1),FIND("]",CELL("filename",D1))+1,1024))</f>
        <v>EUwideConstants</v>
      </c>
      <c r="F1" s="1399"/>
    </row>
    <row r="2" spans="1:6" x14ac:dyDescent="0.25">
      <c r="A2" s="54">
        <v>2020</v>
      </c>
    </row>
    <row r="3" spans="1:6" x14ac:dyDescent="0.25">
      <c r="A3" s="54">
        <v>2021</v>
      </c>
      <c r="B3" s="303"/>
    </row>
    <row r="4" spans="1:6" x14ac:dyDescent="0.25">
      <c r="A4" s="54">
        <v>2022</v>
      </c>
      <c r="B4" s="303"/>
    </row>
    <row r="5" spans="1:6" x14ac:dyDescent="0.25">
      <c r="A5" s="54">
        <v>2023</v>
      </c>
      <c r="B5" s="303"/>
    </row>
    <row r="6" spans="1:6" x14ac:dyDescent="0.25">
      <c r="A6" s="54">
        <v>2024</v>
      </c>
      <c r="B6" s="303"/>
    </row>
    <row r="7" spans="1:6" x14ac:dyDescent="0.25">
      <c r="A7" s="54">
        <v>2025</v>
      </c>
      <c r="B7" s="303"/>
    </row>
    <row r="8" spans="1:6" x14ac:dyDescent="0.25">
      <c r="A8" s="54">
        <v>2026</v>
      </c>
      <c r="B8" s="303"/>
    </row>
    <row r="9" spans="1:6" x14ac:dyDescent="0.25">
      <c r="A9" s="54">
        <v>2027</v>
      </c>
      <c r="B9" s="303"/>
    </row>
    <row r="10" spans="1:6" x14ac:dyDescent="0.25">
      <c r="A10" s="54">
        <v>2028</v>
      </c>
      <c r="B10" s="303"/>
    </row>
    <row r="11" spans="1:6" x14ac:dyDescent="0.25">
      <c r="A11" s="54">
        <v>2029</v>
      </c>
      <c r="B11" s="303"/>
    </row>
    <row r="12" spans="1:6" x14ac:dyDescent="0.25">
      <c r="A12" s="54">
        <v>2030</v>
      </c>
      <c r="B12" s="303"/>
    </row>
    <row r="13" spans="1:6" x14ac:dyDescent="0.25">
      <c r="A13" s="54">
        <v>2031</v>
      </c>
      <c r="B13" s="303"/>
    </row>
    <row r="14" spans="1:6" x14ac:dyDescent="0.25">
      <c r="A14" s="54">
        <v>2032</v>
      </c>
      <c r="B14" s="303"/>
    </row>
    <row r="15" spans="1:6" x14ac:dyDescent="0.25">
      <c r="A15" s="54">
        <v>2033</v>
      </c>
      <c r="B15" s="303"/>
    </row>
    <row r="16" spans="1:6" x14ac:dyDescent="0.25">
      <c r="A16" s="54">
        <v>2034</v>
      </c>
      <c r="B16" s="303"/>
    </row>
    <row r="17" spans="1:3" x14ac:dyDescent="0.25">
      <c r="A17" s="54">
        <v>2035</v>
      </c>
      <c r="B17" s="303"/>
    </row>
    <row r="19" spans="1:3" x14ac:dyDescent="0.25">
      <c r="A19" s="21" t="s">
        <v>277</v>
      </c>
    </row>
    <row r="20" spans="1:3" x14ac:dyDescent="0.25">
      <c r="A20" s="166" t="str">
        <f>Translations!$B$1029</f>
        <v>eligible</v>
      </c>
    </row>
    <row r="21" spans="1:3" x14ac:dyDescent="0.25">
      <c r="A21" s="21" t="s">
        <v>278</v>
      </c>
    </row>
    <row r="22" spans="1:3" x14ac:dyDescent="0.25">
      <c r="A22" s="166" t="str">
        <f>Translations!$B$1030</f>
        <v>not eligible</v>
      </c>
    </row>
    <row r="23" spans="1:3" x14ac:dyDescent="0.25">
      <c r="A23" s="21" t="s">
        <v>279</v>
      </c>
      <c r="C23" s="303"/>
    </row>
    <row r="24" spans="1:3" x14ac:dyDescent="0.25">
      <c r="A24" s="166" t="str">
        <f>Translations!$B$1031</f>
        <v>Number is different from input in section 5(a)!</v>
      </c>
    </row>
    <row r="27" spans="1:3" x14ac:dyDescent="0.25">
      <c r="A27" s="21" t="s">
        <v>280</v>
      </c>
    </row>
    <row r="28" spans="1:3" x14ac:dyDescent="0.25">
      <c r="A28" s="22" t="str">
        <f>Translations!$B$368</f>
        <v>Please select</v>
      </c>
    </row>
    <row r="29" spans="1:3" x14ac:dyDescent="0.25">
      <c r="A29" s="22" t="str">
        <f>Translations!$B$369</f>
        <v>Austria</v>
      </c>
    </row>
    <row r="30" spans="1:3" x14ac:dyDescent="0.25">
      <c r="A30" s="22" t="str">
        <f>Translations!$B$370</f>
        <v>Belgium</v>
      </c>
    </row>
    <row r="31" spans="1:3" x14ac:dyDescent="0.25">
      <c r="A31" s="22" t="str">
        <f>Translations!$B$371</f>
        <v>Bulgaria</v>
      </c>
    </row>
    <row r="32" spans="1:3" x14ac:dyDescent="0.25">
      <c r="A32" s="22" t="str">
        <f>Translations!$B$372</f>
        <v>Croatia</v>
      </c>
    </row>
    <row r="33" spans="1:1" x14ac:dyDescent="0.25">
      <c r="A33" s="22" t="str">
        <f>Translations!$B$373</f>
        <v>Cyprus</v>
      </c>
    </row>
    <row r="34" spans="1:1" x14ac:dyDescent="0.25">
      <c r="A34" s="22" t="str">
        <f>Translations!$B$374</f>
        <v>Czechia</v>
      </c>
    </row>
    <row r="35" spans="1:1" x14ac:dyDescent="0.25">
      <c r="A35" s="22" t="str">
        <f>Translations!$B$375</f>
        <v>Denmark</v>
      </c>
    </row>
    <row r="36" spans="1:1" x14ac:dyDescent="0.25">
      <c r="A36" s="22" t="str">
        <f>Translations!$B$376</f>
        <v>Estonia</v>
      </c>
    </row>
    <row r="37" spans="1:1" x14ac:dyDescent="0.25">
      <c r="A37" s="22" t="str">
        <f>Translations!$B$377</f>
        <v>Finland</v>
      </c>
    </row>
    <row r="38" spans="1:1" x14ac:dyDescent="0.25">
      <c r="A38" s="22" t="str">
        <f>Translations!$B$378</f>
        <v>France</v>
      </c>
    </row>
    <row r="39" spans="1:1" x14ac:dyDescent="0.25">
      <c r="A39" s="22" t="str">
        <f>Translations!$B$379</f>
        <v>Germany</v>
      </c>
    </row>
    <row r="40" spans="1:1" x14ac:dyDescent="0.25">
      <c r="A40" s="22" t="str">
        <f>Translations!$B$380</f>
        <v>Greece</v>
      </c>
    </row>
    <row r="41" spans="1:1" x14ac:dyDescent="0.25">
      <c r="A41" s="22" t="str">
        <f>Translations!$B$381</f>
        <v>Hungary</v>
      </c>
    </row>
    <row r="42" spans="1:1" x14ac:dyDescent="0.25">
      <c r="A42" s="23" t="str">
        <f>Translations!$B$382</f>
        <v>Iceland</v>
      </c>
    </row>
    <row r="43" spans="1:1" x14ac:dyDescent="0.25">
      <c r="A43" s="22" t="str">
        <f>Translations!$B$383</f>
        <v>Ireland</v>
      </c>
    </row>
    <row r="44" spans="1:1" x14ac:dyDescent="0.25">
      <c r="A44" s="22" t="str">
        <f>Translations!$B$384</f>
        <v>Italy</v>
      </c>
    </row>
    <row r="45" spans="1:1" x14ac:dyDescent="0.25">
      <c r="A45" s="22" t="str">
        <f>Translations!$B$385</f>
        <v>Latvia</v>
      </c>
    </row>
    <row r="46" spans="1:1" x14ac:dyDescent="0.25">
      <c r="A46" s="22" t="str">
        <f>Translations!$B$386</f>
        <v>Liechtenstein</v>
      </c>
    </row>
    <row r="47" spans="1:1" x14ac:dyDescent="0.25">
      <c r="A47" s="22" t="str">
        <f>Translations!$B$387</f>
        <v>Lithuania</v>
      </c>
    </row>
    <row r="48" spans="1:1" x14ac:dyDescent="0.25">
      <c r="A48" s="22" t="str">
        <f>Translations!$B$388</f>
        <v>Luxembourg</v>
      </c>
    </row>
    <row r="49" spans="1:1" x14ac:dyDescent="0.25">
      <c r="A49" s="22" t="str">
        <f>Translations!$B$389</f>
        <v>Malta</v>
      </c>
    </row>
    <row r="50" spans="1:1" x14ac:dyDescent="0.25">
      <c r="A50" s="22" t="str">
        <f>Translations!$B$390</f>
        <v>Netherlands</v>
      </c>
    </row>
    <row r="51" spans="1:1" x14ac:dyDescent="0.25">
      <c r="A51" s="23" t="str">
        <f>Translations!$B$391</f>
        <v>Norway</v>
      </c>
    </row>
    <row r="52" spans="1:1" x14ac:dyDescent="0.25">
      <c r="A52" s="22" t="str">
        <f>Translations!$B$392</f>
        <v>Poland</v>
      </c>
    </row>
    <row r="53" spans="1:1" x14ac:dyDescent="0.25">
      <c r="A53" s="22" t="str">
        <f>Translations!$B$393</f>
        <v>Portugal</v>
      </c>
    </row>
    <row r="54" spans="1:1" x14ac:dyDescent="0.25">
      <c r="A54" s="22" t="str">
        <f>Translations!$B$394</f>
        <v>Romania</v>
      </c>
    </row>
    <row r="55" spans="1:1" x14ac:dyDescent="0.25">
      <c r="A55" s="22" t="str">
        <f>Translations!$B$395</f>
        <v>Slovakia</v>
      </c>
    </row>
    <row r="56" spans="1:1" x14ac:dyDescent="0.25">
      <c r="A56" s="22" t="str">
        <f>Translations!$B$396</f>
        <v>Slovenia</v>
      </c>
    </row>
    <row r="57" spans="1:1" x14ac:dyDescent="0.25">
      <c r="A57" s="22" t="str">
        <f>Translations!$B$397</f>
        <v>Spain</v>
      </c>
    </row>
    <row r="58" spans="1:1" x14ac:dyDescent="0.25">
      <c r="A58" s="22" t="str">
        <f>Translations!$B$398</f>
        <v>Sweden</v>
      </c>
    </row>
    <row r="59" spans="1:1" x14ac:dyDescent="0.25">
      <c r="A59" s="524" t="str">
        <f>Translations!$B$399</f>
        <v>United Kingdom</v>
      </c>
    </row>
    <row r="62" spans="1:1" x14ac:dyDescent="0.25">
      <c r="A62" s="21" t="s">
        <v>281</v>
      </c>
    </row>
    <row r="63" spans="1:1" x14ac:dyDescent="0.25">
      <c r="A63" s="22" t="str">
        <f>Translations!$B$368</f>
        <v>Please select</v>
      </c>
    </row>
    <row r="64" spans="1:1" x14ac:dyDescent="0.25">
      <c r="A64" s="22"/>
    </row>
    <row r="65" spans="1:1" x14ac:dyDescent="0.25">
      <c r="A65" s="22" t="str">
        <f>Translations!$B$400</f>
        <v>Afghanistan</v>
      </c>
    </row>
    <row r="66" spans="1:1" x14ac:dyDescent="0.25">
      <c r="A66" s="22" t="str">
        <f>Translations!$B$401</f>
        <v>Albania</v>
      </c>
    </row>
    <row r="67" spans="1:1" x14ac:dyDescent="0.25">
      <c r="A67" s="22" t="str">
        <f>Translations!$B$402</f>
        <v>Algeria</v>
      </c>
    </row>
    <row r="68" spans="1:1" x14ac:dyDescent="0.25">
      <c r="A68" s="22" t="str">
        <f>Translations!$B$403</f>
        <v>American Samoa</v>
      </c>
    </row>
    <row r="69" spans="1:1" x14ac:dyDescent="0.25">
      <c r="A69" s="22" t="str">
        <f>Translations!$B$404</f>
        <v>Andorra</v>
      </c>
    </row>
    <row r="70" spans="1:1" x14ac:dyDescent="0.25">
      <c r="A70" s="22" t="str">
        <f>Translations!$B$405</f>
        <v>Angola</v>
      </c>
    </row>
    <row r="71" spans="1:1" x14ac:dyDescent="0.25">
      <c r="A71" s="22" t="str">
        <f>Translations!$B$406</f>
        <v>Anguilla</v>
      </c>
    </row>
    <row r="72" spans="1:1" x14ac:dyDescent="0.25">
      <c r="A72" s="22" t="str">
        <f>Translations!$B$407</f>
        <v>Antigua and Barbuda</v>
      </c>
    </row>
    <row r="73" spans="1:1" x14ac:dyDescent="0.25">
      <c r="A73" s="22" t="str">
        <f>Translations!$B$408</f>
        <v>Argentina</v>
      </c>
    </row>
    <row r="74" spans="1:1" x14ac:dyDescent="0.25">
      <c r="A74" s="22" t="str">
        <f>Translations!$B$409</f>
        <v>Armenia</v>
      </c>
    </row>
    <row r="75" spans="1:1" x14ac:dyDescent="0.25">
      <c r="A75" s="22" t="str">
        <f>Translations!$B$410</f>
        <v>Aruba</v>
      </c>
    </row>
    <row r="76" spans="1:1" x14ac:dyDescent="0.25">
      <c r="A76" s="22" t="str">
        <f>Translations!$B$411</f>
        <v>Australia</v>
      </c>
    </row>
    <row r="77" spans="1:1" x14ac:dyDescent="0.25">
      <c r="A77" s="22" t="str">
        <f>Translations!$B$369</f>
        <v>Austria</v>
      </c>
    </row>
    <row r="78" spans="1:1" x14ac:dyDescent="0.25">
      <c r="A78" s="22" t="str">
        <f>Translations!$B$412</f>
        <v>Azerbaijan</v>
      </c>
    </row>
    <row r="79" spans="1:1" x14ac:dyDescent="0.25">
      <c r="A79" s="22" t="str">
        <f>Translations!$B$413</f>
        <v>Bahamas</v>
      </c>
    </row>
    <row r="80" spans="1:1" x14ac:dyDescent="0.25">
      <c r="A80" s="22" t="str">
        <f>Translations!$B$414</f>
        <v>Bahrain</v>
      </c>
    </row>
    <row r="81" spans="1:1" x14ac:dyDescent="0.25">
      <c r="A81" s="22" t="str">
        <f>Translations!$B$415</f>
        <v>Bangladesh</v>
      </c>
    </row>
    <row r="82" spans="1:1" x14ac:dyDescent="0.25">
      <c r="A82" s="22" t="str">
        <f>Translations!$B$416</f>
        <v>Barbados</v>
      </c>
    </row>
    <row r="83" spans="1:1" x14ac:dyDescent="0.25">
      <c r="A83" s="22" t="str">
        <f>Translations!$B$417</f>
        <v>Belarus</v>
      </c>
    </row>
    <row r="84" spans="1:1" x14ac:dyDescent="0.25">
      <c r="A84" s="22" t="str">
        <f>Translations!$B$370</f>
        <v>Belgium</v>
      </c>
    </row>
    <row r="85" spans="1:1" x14ac:dyDescent="0.25">
      <c r="A85" s="22" t="str">
        <f>Translations!$B$418</f>
        <v>Belize</v>
      </c>
    </row>
    <row r="86" spans="1:1" x14ac:dyDescent="0.25">
      <c r="A86" s="22" t="str">
        <f>Translations!$B$419</f>
        <v>Benin</v>
      </c>
    </row>
    <row r="87" spans="1:1" x14ac:dyDescent="0.25">
      <c r="A87" s="22" t="str">
        <f>Translations!$B$420</f>
        <v>Bermuda</v>
      </c>
    </row>
    <row r="88" spans="1:1" x14ac:dyDescent="0.25">
      <c r="A88" s="22" t="str">
        <f>Translations!$B$421</f>
        <v>Bhutan</v>
      </c>
    </row>
    <row r="89" spans="1:1" x14ac:dyDescent="0.25">
      <c r="A89" s="22" t="str">
        <f>Translations!$B$422</f>
        <v>Bolivia, Plurinational State of</v>
      </c>
    </row>
    <row r="90" spans="1:1" x14ac:dyDescent="0.25">
      <c r="A90" s="22" t="str">
        <f>Translations!$B$423</f>
        <v>Bosnia and Herzegovina</v>
      </c>
    </row>
    <row r="91" spans="1:1" x14ac:dyDescent="0.25">
      <c r="A91" s="22" t="str">
        <f>Translations!$B$424</f>
        <v>Botswana</v>
      </c>
    </row>
    <row r="92" spans="1:1" x14ac:dyDescent="0.25">
      <c r="A92" s="22" t="str">
        <f>Translations!$B$425</f>
        <v>Brazil</v>
      </c>
    </row>
    <row r="93" spans="1:1" x14ac:dyDescent="0.25">
      <c r="A93" s="22" t="str">
        <f>Translations!$B$427</f>
        <v>Brunei Darussalam</v>
      </c>
    </row>
    <row r="94" spans="1:1" x14ac:dyDescent="0.25">
      <c r="A94" s="22" t="str">
        <f>Translations!$B$371</f>
        <v>Bulgaria</v>
      </c>
    </row>
    <row r="95" spans="1:1" x14ac:dyDescent="0.25">
      <c r="A95" s="22" t="str">
        <f>Translations!$B$428</f>
        <v>Burkina Faso</v>
      </c>
    </row>
    <row r="96" spans="1:1" x14ac:dyDescent="0.25">
      <c r="A96" s="22" t="str">
        <f>Translations!$B$429</f>
        <v>Burundi</v>
      </c>
    </row>
    <row r="97" spans="1:1" x14ac:dyDescent="0.25">
      <c r="A97" s="22" t="str">
        <f>Translations!$B$430</f>
        <v>Cambodia</v>
      </c>
    </row>
    <row r="98" spans="1:1" x14ac:dyDescent="0.25">
      <c r="A98" s="22" t="str">
        <f>Translations!$B$431</f>
        <v>Cameroon</v>
      </c>
    </row>
    <row r="99" spans="1:1" x14ac:dyDescent="0.25">
      <c r="A99" s="22" t="str">
        <f>Translations!$B$432</f>
        <v>Canada</v>
      </c>
    </row>
    <row r="100" spans="1:1" x14ac:dyDescent="0.25">
      <c r="A100" s="22" t="str">
        <f>Translations!$B$433</f>
        <v>Cape Verde</v>
      </c>
    </row>
    <row r="101" spans="1:1" x14ac:dyDescent="0.25">
      <c r="A101" s="22" t="str">
        <f>Translations!$B$434</f>
        <v>Cayman Islands</v>
      </c>
    </row>
    <row r="102" spans="1:1" x14ac:dyDescent="0.25">
      <c r="A102" s="22" t="str">
        <f>Translations!$B$435</f>
        <v>Central African Republic</v>
      </c>
    </row>
    <row r="103" spans="1:1" x14ac:dyDescent="0.25">
      <c r="A103" s="22" t="str">
        <f>Translations!$B$436</f>
        <v>Chad</v>
      </c>
    </row>
    <row r="104" spans="1:1" x14ac:dyDescent="0.25">
      <c r="A104" s="22" t="str">
        <f>Translations!$B$437</f>
        <v>Channel Islands</v>
      </c>
    </row>
    <row r="105" spans="1:1" x14ac:dyDescent="0.25">
      <c r="A105" s="22" t="str">
        <f>Translations!$B$438</f>
        <v>Chile</v>
      </c>
    </row>
    <row r="106" spans="1:1" x14ac:dyDescent="0.25">
      <c r="A106" s="22" t="str">
        <f>Translations!$B$439</f>
        <v>China</v>
      </c>
    </row>
    <row r="107" spans="1:1" x14ac:dyDescent="0.25">
      <c r="A107" s="22" t="str">
        <f>Translations!$B$442</f>
        <v>Colombia</v>
      </c>
    </row>
    <row r="108" spans="1:1" x14ac:dyDescent="0.25">
      <c r="A108" s="22" t="str">
        <f>Translations!$B$443</f>
        <v>Comoros</v>
      </c>
    </row>
    <row r="109" spans="1:1" x14ac:dyDescent="0.25">
      <c r="A109" s="22" t="str">
        <f>Translations!$B$444</f>
        <v>Congo</v>
      </c>
    </row>
    <row r="110" spans="1:1" x14ac:dyDescent="0.25">
      <c r="A110" s="22" t="str">
        <f>Translations!$B$450</f>
        <v>Congo, The Democratic Republic of the</v>
      </c>
    </row>
    <row r="111" spans="1:1" x14ac:dyDescent="0.25">
      <c r="A111" s="22" t="str">
        <f>Translations!$B$445</f>
        <v>Cook Islands</v>
      </c>
    </row>
    <row r="112" spans="1:1" x14ac:dyDescent="0.25">
      <c r="A112" s="22" t="str">
        <f>Translations!$B$446</f>
        <v>Costa Rica</v>
      </c>
    </row>
    <row r="113" spans="1:1" x14ac:dyDescent="0.25">
      <c r="A113" s="22" t="str">
        <f>Translations!$B$447</f>
        <v>Côte d'Ivoire</v>
      </c>
    </row>
    <row r="114" spans="1:1" x14ac:dyDescent="0.25">
      <c r="A114" s="22" t="str">
        <f>Translations!$B$372</f>
        <v>Croatia</v>
      </c>
    </row>
    <row r="115" spans="1:1" x14ac:dyDescent="0.25">
      <c r="A115" s="22" t="str">
        <f>Translations!$B$448</f>
        <v>Cuba</v>
      </c>
    </row>
    <row r="116" spans="1:1" ht="14.4" x14ac:dyDescent="0.25">
      <c r="A116" s="228" t="str">
        <f>Translations!$B$824</f>
        <v>Curaçao</v>
      </c>
    </row>
    <row r="117" spans="1:1" x14ac:dyDescent="0.25">
      <c r="A117" s="22" t="str">
        <f>Translations!$B$373</f>
        <v>Cyprus</v>
      </c>
    </row>
    <row r="118" spans="1:1" x14ac:dyDescent="0.25">
      <c r="A118" s="22" t="str">
        <f>Translations!$B$374</f>
        <v>Czechia</v>
      </c>
    </row>
    <row r="119" spans="1:1" x14ac:dyDescent="0.25">
      <c r="A119" s="22" t="str">
        <f>Translations!$B$375</f>
        <v>Denmark</v>
      </c>
    </row>
    <row r="120" spans="1:1" x14ac:dyDescent="0.25">
      <c r="A120" s="22" t="str">
        <f>Translations!$B$451</f>
        <v>Djibouti</v>
      </c>
    </row>
    <row r="121" spans="1:1" x14ac:dyDescent="0.25">
      <c r="A121" s="22" t="str">
        <f>Translations!$B$452</f>
        <v>Dominica</v>
      </c>
    </row>
    <row r="122" spans="1:1" x14ac:dyDescent="0.25">
      <c r="A122" s="22" t="str">
        <f>Translations!$B$453</f>
        <v>Dominican Republic</v>
      </c>
    </row>
    <row r="123" spans="1:1" x14ac:dyDescent="0.25">
      <c r="A123" s="22" t="str">
        <f>Translations!$B$454</f>
        <v>Ecuador</v>
      </c>
    </row>
    <row r="124" spans="1:1" x14ac:dyDescent="0.25">
      <c r="A124" s="22" t="str">
        <f>Translations!$B$455</f>
        <v>Egypt</v>
      </c>
    </row>
    <row r="125" spans="1:1" x14ac:dyDescent="0.25">
      <c r="A125" s="22" t="str">
        <f>Translations!$B$456</f>
        <v>El Salvador</v>
      </c>
    </row>
    <row r="126" spans="1:1" x14ac:dyDescent="0.25">
      <c r="A126" s="22" t="str">
        <f>Translations!$B$457</f>
        <v>Equatorial Guinea</v>
      </c>
    </row>
    <row r="127" spans="1:1" x14ac:dyDescent="0.25">
      <c r="A127" s="22" t="str">
        <f>Translations!$B$458</f>
        <v>Eritrea</v>
      </c>
    </row>
    <row r="128" spans="1:1" x14ac:dyDescent="0.25">
      <c r="A128" s="22" t="str">
        <f>Translations!$B$376</f>
        <v>Estonia</v>
      </c>
    </row>
    <row r="129" spans="1:1" x14ac:dyDescent="0.25">
      <c r="A129" s="22" t="str">
        <f>Translations!$B$459</f>
        <v>Ethiopia</v>
      </c>
    </row>
    <row r="130" spans="1:1" x14ac:dyDescent="0.25">
      <c r="A130" s="22" t="str">
        <f>Translations!$B$461</f>
        <v>Falkland Islands (Malvinas)</v>
      </c>
    </row>
    <row r="131" spans="1:1" x14ac:dyDescent="0.25">
      <c r="A131" s="22" t="str">
        <f>Translations!$B$460</f>
        <v>Faroe Islands</v>
      </c>
    </row>
    <row r="132" spans="1:1" x14ac:dyDescent="0.25">
      <c r="A132" s="22" t="str">
        <f>Translations!$B$462</f>
        <v>Fiji</v>
      </c>
    </row>
    <row r="133" spans="1:1" x14ac:dyDescent="0.25">
      <c r="A133" s="22" t="str">
        <f>Translations!$B$377</f>
        <v>Finland</v>
      </c>
    </row>
    <row r="134" spans="1:1" x14ac:dyDescent="0.25">
      <c r="A134" s="22" t="str">
        <f>Translations!$B$378</f>
        <v>France</v>
      </c>
    </row>
    <row r="135" spans="1:1" x14ac:dyDescent="0.25">
      <c r="A135" s="22" t="str">
        <f>Translations!$B$464</f>
        <v>French Polynesia</v>
      </c>
    </row>
    <row r="136" spans="1:1" x14ac:dyDescent="0.25">
      <c r="A136" s="22" t="str">
        <f>Translations!$B$465</f>
        <v>Gabon</v>
      </c>
    </row>
    <row r="137" spans="1:1" x14ac:dyDescent="0.25">
      <c r="A137" s="22" t="str">
        <f>Translations!$B$466</f>
        <v>Gambia</v>
      </c>
    </row>
    <row r="138" spans="1:1" x14ac:dyDescent="0.25">
      <c r="A138" s="22" t="str">
        <f>Translations!$B$467</f>
        <v>Georgia</v>
      </c>
    </row>
    <row r="139" spans="1:1" x14ac:dyDescent="0.25">
      <c r="A139" s="22" t="str">
        <f>Translations!$B$379</f>
        <v>Germany</v>
      </c>
    </row>
    <row r="140" spans="1:1" x14ac:dyDescent="0.25">
      <c r="A140" s="22" t="str">
        <f>Translations!$B$468</f>
        <v>Ghana</v>
      </c>
    </row>
    <row r="141" spans="1:1" x14ac:dyDescent="0.25">
      <c r="A141" s="22" t="str">
        <f>Translations!$B$469</f>
        <v>Gibraltar</v>
      </c>
    </row>
    <row r="142" spans="1:1" x14ac:dyDescent="0.25">
      <c r="A142" s="22" t="str">
        <f>Translations!$B$380</f>
        <v>Greece</v>
      </c>
    </row>
    <row r="143" spans="1:1" x14ac:dyDescent="0.25">
      <c r="A143" s="22" t="str">
        <f>Translations!$B$470</f>
        <v>Greenland</v>
      </c>
    </row>
    <row r="144" spans="1:1" x14ac:dyDescent="0.25">
      <c r="A144" s="22" t="str">
        <f>Translations!$B$471</f>
        <v>Grenada</v>
      </c>
    </row>
    <row r="145" spans="1:1" x14ac:dyDescent="0.25">
      <c r="A145" s="22" t="str">
        <f>Translations!$B$473</f>
        <v>Guam</v>
      </c>
    </row>
    <row r="146" spans="1:1" x14ac:dyDescent="0.25">
      <c r="A146" s="22" t="str">
        <f>Translations!$B$474</f>
        <v>Guatemala</v>
      </c>
    </row>
    <row r="147" spans="1:1" x14ac:dyDescent="0.25">
      <c r="A147" s="22" t="str">
        <f>Translations!$B$475</f>
        <v>Guernsey</v>
      </c>
    </row>
    <row r="148" spans="1:1" x14ac:dyDescent="0.25">
      <c r="A148" s="22" t="str">
        <f>Translations!$B$476</f>
        <v>Guinea</v>
      </c>
    </row>
    <row r="149" spans="1:1" x14ac:dyDescent="0.25">
      <c r="A149" s="22" t="str">
        <f>Translations!$B$477</f>
        <v>Guinea-Bissau</v>
      </c>
    </row>
    <row r="150" spans="1:1" x14ac:dyDescent="0.25">
      <c r="A150" s="22" t="str">
        <f>Translations!$B$478</f>
        <v>Guyana</v>
      </c>
    </row>
    <row r="151" spans="1:1" x14ac:dyDescent="0.25">
      <c r="A151" s="22" t="str">
        <f>Translations!$B$479</f>
        <v>Haiti</v>
      </c>
    </row>
    <row r="152" spans="1:1" x14ac:dyDescent="0.25">
      <c r="A152" s="22" t="str">
        <f>Translations!$B$480</f>
        <v>Holy See (Vatican City State)</v>
      </c>
    </row>
    <row r="153" spans="1:1" x14ac:dyDescent="0.25">
      <c r="A153" s="22" t="str">
        <f>Translations!$B$481</f>
        <v>Honduras</v>
      </c>
    </row>
    <row r="154" spans="1:1" x14ac:dyDescent="0.25">
      <c r="A154" s="22" t="str">
        <f>Translations!$B$440</f>
        <v>Hong Kong SAR</v>
      </c>
    </row>
    <row r="155" spans="1:1" x14ac:dyDescent="0.25">
      <c r="A155" s="22" t="str">
        <f>Translations!$B$381</f>
        <v>Hungary</v>
      </c>
    </row>
    <row r="156" spans="1:1" x14ac:dyDescent="0.25">
      <c r="A156" s="22" t="str">
        <f>Translations!$B$382</f>
        <v>Iceland</v>
      </c>
    </row>
    <row r="157" spans="1:1" x14ac:dyDescent="0.25">
      <c r="A157" s="22" t="str">
        <f>Translations!$B$482</f>
        <v>India</v>
      </c>
    </row>
    <row r="158" spans="1:1" x14ac:dyDescent="0.25">
      <c r="A158" s="22" t="str">
        <f>Translations!$B$483</f>
        <v>Indonesia</v>
      </c>
    </row>
    <row r="159" spans="1:1" x14ac:dyDescent="0.25">
      <c r="A159" s="22" t="str">
        <f>Translations!$B$484</f>
        <v>Iran, Islamic Republic of</v>
      </c>
    </row>
    <row r="160" spans="1:1" x14ac:dyDescent="0.25">
      <c r="A160" s="22" t="str">
        <f>Translations!$B$485</f>
        <v>Iraq</v>
      </c>
    </row>
    <row r="161" spans="1:1" x14ac:dyDescent="0.25">
      <c r="A161" s="22" t="str">
        <f>Translations!$B$383</f>
        <v>Ireland</v>
      </c>
    </row>
    <row r="162" spans="1:1" x14ac:dyDescent="0.25">
      <c r="A162" s="22" t="str">
        <f>Translations!$B$486</f>
        <v>Isle of Man</v>
      </c>
    </row>
    <row r="163" spans="1:1" x14ac:dyDescent="0.25">
      <c r="A163" s="22" t="str">
        <f>Translations!$B$487</f>
        <v>Israel</v>
      </c>
    </row>
    <row r="164" spans="1:1" x14ac:dyDescent="0.25">
      <c r="A164" s="22" t="str">
        <f>Translations!$B$384</f>
        <v>Italy</v>
      </c>
    </row>
    <row r="165" spans="1:1" x14ac:dyDescent="0.25">
      <c r="A165" s="22" t="str">
        <f>Translations!$B$488</f>
        <v>Jamaica</v>
      </c>
    </row>
    <row r="166" spans="1:1" x14ac:dyDescent="0.25">
      <c r="A166" s="22" t="str">
        <f>Translations!$B$489</f>
        <v>Japan</v>
      </c>
    </row>
    <row r="167" spans="1:1" x14ac:dyDescent="0.25">
      <c r="A167" s="22" t="str">
        <f>Translations!$B$490</f>
        <v>Jersey</v>
      </c>
    </row>
    <row r="168" spans="1:1" x14ac:dyDescent="0.25">
      <c r="A168" s="22" t="str">
        <f>Translations!$B$491</f>
        <v>Jordan</v>
      </c>
    </row>
    <row r="169" spans="1:1" x14ac:dyDescent="0.25">
      <c r="A169" s="22" t="str">
        <f>Translations!$B$492</f>
        <v>Kazakhstan</v>
      </c>
    </row>
    <row r="170" spans="1:1" x14ac:dyDescent="0.25">
      <c r="A170" s="22" t="str">
        <f>Translations!$B$493</f>
        <v>Kenya</v>
      </c>
    </row>
    <row r="171" spans="1:1" x14ac:dyDescent="0.25">
      <c r="A171" s="22" t="str">
        <f>Translations!$B$494</f>
        <v>Kiribati</v>
      </c>
    </row>
    <row r="172" spans="1:1" x14ac:dyDescent="0.25">
      <c r="A172" s="22" t="str">
        <f>Translations!$B$449</f>
        <v>Korea, Democratic People's Republic of</v>
      </c>
    </row>
    <row r="173" spans="1:1" x14ac:dyDescent="0.25">
      <c r="A173" s="22" t="str">
        <f>Translations!$B$545</f>
        <v>Korea, Republic of</v>
      </c>
    </row>
    <row r="174" spans="1:1" ht="14.4" x14ac:dyDescent="0.25">
      <c r="A174" s="228" t="str">
        <f>Translations!$B$825</f>
        <v>Kosovo, United Nations Interim Administration Mission</v>
      </c>
    </row>
    <row r="175" spans="1:1" x14ac:dyDescent="0.25">
      <c r="A175" s="22" t="str">
        <f>Translations!$B$495</f>
        <v>Kuwait</v>
      </c>
    </row>
    <row r="176" spans="1:1" x14ac:dyDescent="0.25">
      <c r="A176" s="22" t="str">
        <f>Translations!$B$496</f>
        <v>Kyrgyzstan</v>
      </c>
    </row>
    <row r="177" spans="1:1" x14ac:dyDescent="0.25">
      <c r="A177" s="22" t="str">
        <f>Translations!$B$497</f>
        <v>Lao People's Democratic Republic</v>
      </c>
    </row>
    <row r="178" spans="1:1" x14ac:dyDescent="0.25">
      <c r="A178" s="22" t="str">
        <f>Translations!$B$385</f>
        <v>Latvia</v>
      </c>
    </row>
    <row r="179" spans="1:1" x14ac:dyDescent="0.25">
      <c r="A179" s="22" t="str">
        <f>Translations!$B$498</f>
        <v>Lebanon</v>
      </c>
    </row>
    <row r="180" spans="1:1" x14ac:dyDescent="0.25">
      <c r="A180" s="22" t="str">
        <f>Translations!$B$499</f>
        <v>Lesotho</v>
      </c>
    </row>
    <row r="181" spans="1:1" x14ac:dyDescent="0.25">
      <c r="A181" s="22" t="str">
        <f>Translations!$B$500</f>
        <v>Liberia</v>
      </c>
    </row>
    <row r="182" spans="1:1" x14ac:dyDescent="0.25">
      <c r="A182" s="22" t="str">
        <f>Translations!$B$501</f>
        <v>Libya</v>
      </c>
    </row>
    <row r="183" spans="1:1" x14ac:dyDescent="0.25">
      <c r="A183" s="22" t="str">
        <f>Translations!$B$386</f>
        <v>Liechtenstein</v>
      </c>
    </row>
    <row r="184" spans="1:1" x14ac:dyDescent="0.25">
      <c r="A184" s="22" t="str">
        <f>Translations!$B$387</f>
        <v>Lithuania</v>
      </c>
    </row>
    <row r="185" spans="1:1" x14ac:dyDescent="0.25">
      <c r="A185" s="22" t="str">
        <f>Translations!$B$388</f>
        <v>Luxembourg</v>
      </c>
    </row>
    <row r="186" spans="1:1" x14ac:dyDescent="0.25">
      <c r="A186" s="22" t="str">
        <f>Translations!$B$441</f>
        <v>Macao SAR</v>
      </c>
    </row>
    <row r="187" spans="1:1" x14ac:dyDescent="0.25">
      <c r="A187" s="382" t="str">
        <f>Translations!$B$1194</f>
        <v>North Macedonia</v>
      </c>
    </row>
    <row r="188" spans="1:1" x14ac:dyDescent="0.25">
      <c r="A188" s="22" t="str">
        <f>Translations!$B$502</f>
        <v>Madagascar</v>
      </c>
    </row>
    <row r="189" spans="1:1" x14ac:dyDescent="0.25">
      <c r="A189" s="22" t="str">
        <f>Translations!$B$503</f>
        <v>Malawi</v>
      </c>
    </row>
    <row r="190" spans="1:1" x14ac:dyDescent="0.25">
      <c r="A190" s="22" t="str">
        <f>Translations!$B$504</f>
        <v>Malaysia</v>
      </c>
    </row>
    <row r="191" spans="1:1" x14ac:dyDescent="0.25">
      <c r="A191" s="22" t="str">
        <f>Translations!$B$505</f>
        <v>Maldives</v>
      </c>
    </row>
    <row r="192" spans="1:1" x14ac:dyDescent="0.25">
      <c r="A192" s="22" t="str">
        <f>Translations!$B$506</f>
        <v>Mali</v>
      </c>
    </row>
    <row r="193" spans="1:1" x14ac:dyDescent="0.25">
      <c r="A193" s="22" t="str">
        <f>Translations!$B$389</f>
        <v>Malta</v>
      </c>
    </row>
    <row r="194" spans="1:1" x14ac:dyDescent="0.25">
      <c r="A194" s="22" t="str">
        <f>Translations!$B$507</f>
        <v>Marshall Islands</v>
      </c>
    </row>
    <row r="195" spans="1:1" x14ac:dyDescent="0.25">
      <c r="A195" s="22" t="str">
        <f>Translations!$B$509</f>
        <v>Mauritania</v>
      </c>
    </row>
    <row r="196" spans="1:1" x14ac:dyDescent="0.25">
      <c r="A196" s="22" t="str">
        <f>Translations!$B$510</f>
        <v>Mauritius</v>
      </c>
    </row>
    <row r="197" spans="1:1" x14ac:dyDescent="0.25">
      <c r="A197" s="22" t="str">
        <f>Translations!$B$511</f>
        <v>Mayotte</v>
      </c>
    </row>
    <row r="198" spans="1:1" x14ac:dyDescent="0.25">
      <c r="A198" s="22" t="str">
        <f>Translations!$B$512</f>
        <v>Mexico</v>
      </c>
    </row>
    <row r="199" spans="1:1" x14ac:dyDescent="0.25">
      <c r="A199" s="22" t="str">
        <f>Translations!$B$513</f>
        <v>Micronesia, Federated States of</v>
      </c>
    </row>
    <row r="200" spans="1:1" x14ac:dyDescent="0.25">
      <c r="A200" s="22" t="str">
        <f>Translations!$B$546</f>
        <v>Moldova, Republic of</v>
      </c>
    </row>
    <row r="201" spans="1:1" x14ac:dyDescent="0.25">
      <c r="A201" s="22" t="str">
        <f>Translations!$B$514</f>
        <v>Monaco</v>
      </c>
    </row>
    <row r="202" spans="1:1" x14ac:dyDescent="0.25">
      <c r="A202" s="22" t="str">
        <f>Translations!$B$515</f>
        <v>Mongolia</v>
      </c>
    </row>
    <row r="203" spans="1:1" x14ac:dyDescent="0.25">
      <c r="A203" s="22" t="str">
        <f>Translations!$B$516</f>
        <v>Montenegro</v>
      </c>
    </row>
    <row r="204" spans="1:1" x14ac:dyDescent="0.25">
      <c r="A204" s="22" t="str">
        <f>Translations!$B$517</f>
        <v>Montserrat</v>
      </c>
    </row>
    <row r="205" spans="1:1" x14ac:dyDescent="0.25">
      <c r="A205" s="22" t="str">
        <f>Translations!$B$518</f>
        <v>Morocco</v>
      </c>
    </row>
    <row r="206" spans="1:1" x14ac:dyDescent="0.25">
      <c r="A206" s="22" t="str">
        <f>Translations!$B$519</f>
        <v>Mozambique</v>
      </c>
    </row>
    <row r="207" spans="1:1" x14ac:dyDescent="0.25">
      <c r="A207" s="22" t="str">
        <f>Translations!$B$520</f>
        <v>Myanmar</v>
      </c>
    </row>
    <row r="208" spans="1:1" x14ac:dyDescent="0.25">
      <c r="A208" s="22" t="str">
        <f>Translations!$B$521</f>
        <v>Namibia</v>
      </c>
    </row>
    <row r="209" spans="1:1" x14ac:dyDescent="0.25">
      <c r="A209" s="22" t="str">
        <f>Translations!$B$522</f>
        <v>Nauru</v>
      </c>
    </row>
    <row r="210" spans="1:1" x14ac:dyDescent="0.25">
      <c r="A210" s="22" t="str">
        <f>Translations!$B$523</f>
        <v>Nepal</v>
      </c>
    </row>
    <row r="211" spans="1:1" x14ac:dyDescent="0.25">
      <c r="A211" s="22" t="str">
        <f>Translations!$B$390</f>
        <v>Netherlands</v>
      </c>
    </row>
    <row r="212" spans="1:1" x14ac:dyDescent="0.25">
      <c r="A212" s="22" t="str">
        <f>Translations!$B$525</f>
        <v>New Caledonia</v>
      </c>
    </row>
    <row r="213" spans="1:1" x14ac:dyDescent="0.25">
      <c r="A213" s="22" t="str">
        <f>Translations!$B$526</f>
        <v>New Zealand</v>
      </c>
    </row>
    <row r="214" spans="1:1" x14ac:dyDescent="0.25">
      <c r="A214" s="22" t="str">
        <f>Translations!$B$527</f>
        <v>Nicaragua</v>
      </c>
    </row>
    <row r="215" spans="1:1" x14ac:dyDescent="0.25">
      <c r="A215" s="22" t="str">
        <f>Translations!$B$528</f>
        <v>Niger</v>
      </c>
    </row>
    <row r="216" spans="1:1" x14ac:dyDescent="0.25">
      <c r="A216" s="22" t="str">
        <f>Translations!$B$529</f>
        <v>Nigeria</v>
      </c>
    </row>
    <row r="217" spans="1:1" x14ac:dyDescent="0.25">
      <c r="A217" s="22" t="str">
        <f>Translations!$B$530</f>
        <v>Niue</v>
      </c>
    </row>
    <row r="218" spans="1:1" x14ac:dyDescent="0.25">
      <c r="A218" s="22" t="str">
        <f>Translations!$B$531</f>
        <v>Norfolk Island</v>
      </c>
    </row>
    <row r="219" spans="1:1" x14ac:dyDescent="0.25">
      <c r="A219" s="22" t="str">
        <f>Translations!$B$532</f>
        <v>Northern Mariana Islands</v>
      </c>
    </row>
    <row r="220" spans="1:1" x14ac:dyDescent="0.25">
      <c r="A220" s="22" t="str">
        <f>Translations!$B$391</f>
        <v>Norway</v>
      </c>
    </row>
    <row r="221" spans="1:1" x14ac:dyDescent="0.25">
      <c r="A221" s="22" t="str">
        <f>Translations!$B$534</f>
        <v>Oman</v>
      </c>
    </row>
    <row r="222" spans="1:1" x14ac:dyDescent="0.25">
      <c r="A222" s="22" t="str">
        <f>Translations!$B$535</f>
        <v>Pakistan</v>
      </c>
    </row>
    <row r="223" spans="1:1" x14ac:dyDescent="0.25">
      <c r="A223" s="22" t="str">
        <f>Translations!$B$536</f>
        <v>Palau</v>
      </c>
    </row>
    <row r="224" spans="1:1" x14ac:dyDescent="0.25">
      <c r="A224" s="22" t="str">
        <f>Translations!$B$533</f>
        <v>Palestinian Territory, Occupied</v>
      </c>
    </row>
    <row r="225" spans="1:1" x14ac:dyDescent="0.25">
      <c r="A225" s="22" t="str">
        <f>Translations!$B$537</f>
        <v>Panama</v>
      </c>
    </row>
    <row r="226" spans="1:1" x14ac:dyDescent="0.25">
      <c r="A226" s="22" t="str">
        <f>Translations!$B$538</f>
        <v>Papua New Guinea</v>
      </c>
    </row>
    <row r="227" spans="1:1" x14ac:dyDescent="0.25">
      <c r="A227" s="22" t="str">
        <f>Translations!$B$539</f>
        <v>Paraguay</v>
      </c>
    </row>
    <row r="228" spans="1:1" x14ac:dyDescent="0.25">
      <c r="A228" s="22" t="str">
        <f>Translations!$B$540</f>
        <v>Peru</v>
      </c>
    </row>
    <row r="229" spans="1:1" x14ac:dyDescent="0.25">
      <c r="A229" s="22" t="str">
        <f>Translations!$B$541</f>
        <v>Philippines</v>
      </c>
    </row>
    <row r="230" spans="1:1" x14ac:dyDescent="0.25">
      <c r="A230" s="22" t="str">
        <f>Translations!$B$542</f>
        <v>Pitcairn</v>
      </c>
    </row>
    <row r="231" spans="1:1" x14ac:dyDescent="0.25">
      <c r="A231" s="22" t="str">
        <f>Translations!$B$392</f>
        <v>Poland</v>
      </c>
    </row>
    <row r="232" spans="1:1" x14ac:dyDescent="0.25">
      <c r="A232" s="22" t="str">
        <f>Translations!$B$393</f>
        <v>Portugal</v>
      </c>
    </row>
    <row r="233" spans="1:1" x14ac:dyDescent="0.25">
      <c r="A233" s="22" t="str">
        <f>Translations!$B$543</f>
        <v>Puerto Rico</v>
      </c>
    </row>
    <row r="234" spans="1:1" x14ac:dyDescent="0.25">
      <c r="A234" s="22" t="str">
        <f>Translations!$B$544</f>
        <v>Qatar</v>
      </c>
    </row>
    <row r="235" spans="1:1" x14ac:dyDescent="0.25">
      <c r="A235" s="22" t="str">
        <f>Translations!$B$394</f>
        <v>Romania</v>
      </c>
    </row>
    <row r="236" spans="1:1" x14ac:dyDescent="0.25">
      <c r="A236" s="22" t="str">
        <f>Translations!$B$548</f>
        <v>Russian Federation</v>
      </c>
    </row>
    <row r="237" spans="1:1" x14ac:dyDescent="0.25">
      <c r="A237" s="22" t="str">
        <f>Translations!$B$549</f>
        <v>Rwanda</v>
      </c>
    </row>
    <row r="238" spans="1:1" x14ac:dyDescent="0.25">
      <c r="A238" s="22" t="str">
        <f>Translations!$B$550</f>
        <v>Saint Barthélemy</v>
      </c>
    </row>
    <row r="239" spans="1:1" ht="14.4" x14ac:dyDescent="0.25">
      <c r="A239" s="228" t="str">
        <f>Translations!$B$826</f>
        <v>Saint Helena, Ascension and Tristan da Cunha</v>
      </c>
    </row>
    <row r="240" spans="1:1" x14ac:dyDescent="0.25">
      <c r="A240" s="22" t="str">
        <f>Translations!$B$552</f>
        <v>Saint Kitts and Nevis</v>
      </c>
    </row>
    <row r="241" spans="1:1" x14ac:dyDescent="0.25">
      <c r="A241" s="22" t="str">
        <f>Translations!$B$553</f>
        <v>Saint Lucia</v>
      </c>
    </row>
    <row r="242" spans="1:1" x14ac:dyDescent="0.25">
      <c r="A242" s="22" t="str">
        <f>Translations!$B$555</f>
        <v>Saint Pierre and Miquelon</v>
      </c>
    </row>
    <row r="243" spans="1:1" x14ac:dyDescent="0.25">
      <c r="A243" s="22" t="str">
        <f>Translations!$B$556</f>
        <v>Saint Vincent and the Grenadines</v>
      </c>
    </row>
    <row r="244" spans="1:1" x14ac:dyDescent="0.25">
      <c r="A244" s="22" t="str">
        <f>Translations!$B$554</f>
        <v>Saint-Martin (French part)</v>
      </c>
    </row>
    <row r="245" spans="1:1" x14ac:dyDescent="0.25">
      <c r="A245" s="22" t="str">
        <f>Translations!$B$557</f>
        <v>Samoa</v>
      </c>
    </row>
    <row r="246" spans="1:1" x14ac:dyDescent="0.25">
      <c r="A246" s="22" t="str">
        <f>Translations!$B$558</f>
        <v>San Marino</v>
      </c>
    </row>
    <row r="247" spans="1:1" x14ac:dyDescent="0.25">
      <c r="A247" s="22" t="str">
        <f>Translations!$B$559</f>
        <v>Sao Tome and Principe</v>
      </c>
    </row>
    <row r="248" spans="1:1" x14ac:dyDescent="0.25">
      <c r="A248" s="22" t="str">
        <f>Translations!$B$560</f>
        <v>Saudi Arabia</v>
      </c>
    </row>
    <row r="249" spans="1:1" x14ac:dyDescent="0.25">
      <c r="A249" s="22" t="str">
        <f>Translations!$B$561</f>
        <v>Senegal</v>
      </c>
    </row>
    <row r="250" spans="1:1" x14ac:dyDescent="0.25">
      <c r="A250" s="22" t="str">
        <f>Translations!$B$562</f>
        <v>Serbia</v>
      </c>
    </row>
    <row r="251" spans="1:1" x14ac:dyDescent="0.25">
      <c r="A251" s="22" t="str">
        <f>Translations!$B$563</f>
        <v>Seychelles</v>
      </c>
    </row>
    <row r="252" spans="1:1" x14ac:dyDescent="0.25">
      <c r="A252" s="22" t="str">
        <f>Translations!$B$564</f>
        <v>Sierra Leone</v>
      </c>
    </row>
    <row r="253" spans="1:1" x14ac:dyDescent="0.25">
      <c r="A253" s="22" t="str">
        <f>Translations!$B$565</f>
        <v>Singapore</v>
      </c>
    </row>
    <row r="254" spans="1:1" ht="14.4" x14ac:dyDescent="0.25">
      <c r="A254" s="228" t="str">
        <f>Translations!$B$827</f>
        <v>Sint Maarten (Dutch Part)</v>
      </c>
    </row>
    <row r="255" spans="1:1" x14ac:dyDescent="0.25">
      <c r="A255" s="22" t="str">
        <f>Translations!$B$395</f>
        <v>Slovakia</v>
      </c>
    </row>
    <row r="256" spans="1:1" x14ac:dyDescent="0.25">
      <c r="A256" s="22" t="str">
        <f>Translations!$B$396</f>
        <v>Slovenia</v>
      </c>
    </row>
    <row r="257" spans="1:1" x14ac:dyDescent="0.25">
      <c r="A257" s="22" t="str">
        <f>Translations!$B$566</f>
        <v>Solomon Islands</v>
      </c>
    </row>
    <row r="258" spans="1:1" x14ac:dyDescent="0.25">
      <c r="A258" s="22" t="str">
        <f>Translations!$B$567</f>
        <v>Somalia</v>
      </c>
    </row>
    <row r="259" spans="1:1" x14ac:dyDescent="0.25">
      <c r="A259" s="22" t="str">
        <f>Translations!$B$568</f>
        <v>South Africa</v>
      </c>
    </row>
    <row r="260" spans="1:1" ht="14.4" x14ac:dyDescent="0.25">
      <c r="A260" s="228" t="str">
        <f>Translations!$B$828</f>
        <v>South Georgia and the South Sandwich Islands</v>
      </c>
    </row>
    <row r="261" spans="1:1" ht="14.4" x14ac:dyDescent="0.25">
      <c r="A261" s="228" t="str">
        <f>Translations!$B$829</f>
        <v>South Sudan</v>
      </c>
    </row>
    <row r="262" spans="1:1" x14ac:dyDescent="0.25">
      <c r="A262" s="22" t="str">
        <f>Translations!$B$397</f>
        <v>Spain</v>
      </c>
    </row>
    <row r="263" spans="1:1" x14ac:dyDescent="0.25">
      <c r="A263" s="22" t="str">
        <f>Translations!$B$569</f>
        <v>Sri Lanka</v>
      </c>
    </row>
    <row r="264" spans="1:1" x14ac:dyDescent="0.25">
      <c r="A264" s="22" t="str">
        <f>Translations!$B$570</f>
        <v>Sudan</v>
      </c>
    </row>
    <row r="265" spans="1:1" x14ac:dyDescent="0.25">
      <c r="A265" s="22" t="str">
        <f>Translations!$B$571</f>
        <v>Suriname</v>
      </c>
    </row>
    <row r="266" spans="1:1" x14ac:dyDescent="0.25">
      <c r="A266" s="22" t="str">
        <f>Translations!$B$572</f>
        <v>Svalbard and Jan Mayen Islands</v>
      </c>
    </row>
    <row r="267" spans="1:1" x14ac:dyDescent="0.25">
      <c r="A267" s="22" t="str">
        <f>Translations!$B$573</f>
        <v>Swaziland</v>
      </c>
    </row>
    <row r="268" spans="1:1" x14ac:dyDescent="0.25">
      <c r="A268" s="22" t="str">
        <f>Translations!$B$398</f>
        <v>Sweden</v>
      </c>
    </row>
    <row r="269" spans="1:1" x14ac:dyDescent="0.25">
      <c r="A269" s="22" t="str">
        <f>Translations!$B$574</f>
        <v>Switzerland</v>
      </c>
    </row>
    <row r="270" spans="1:1" x14ac:dyDescent="0.25">
      <c r="A270" s="22" t="str">
        <f>Translations!$B$575</f>
        <v>Syrian Arab Republic</v>
      </c>
    </row>
    <row r="271" spans="1:1" ht="14.4" x14ac:dyDescent="0.25">
      <c r="A271" s="228" t="str">
        <f>Translations!$B$830</f>
        <v>Taiwan</v>
      </c>
    </row>
    <row r="272" spans="1:1" x14ac:dyDescent="0.25">
      <c r="A272" s="22" t="str">
        <f>Translations!$B$576</f>
        <v>Tajikistan</v>
      </c>
    </row>
    <row r="273" spans="1:1" x14ac:dyDescent="0.25">
      <c r="A273" s="22" t="str">
        <f>Translations!$B$592</f>
        <v>Tanzania, United Republic of</v>
      </c>
    </row>
    <row r="274" spans="1:1" x14ac:dyDescent="0.25">
      <c r="A274" s="22" t="str">
        <f>Translations!$B$577</f>
        <v>Thailand</v>
      </c>
    </row>
    <row r="275" spans="1:1" x14ac:dyDescent="0.25">
      <c r="A275" s="22" t="str">
        <f>Translations!$B$579</f>
        <v>Timor-Leste</v>
      </c>
    </row>
    <row r="276" spans="1:1" x14ac:dyDescent="0.25">
      <c r="A276" s="22" t="str">
        <f>Translations!$B$580</f>
        <v>Togo</v>
      </c>
    </row>
    <row r="277" spans="1:1" x14ac:dyDescent="0.25">
      <c r="A277" s="22" t="str">
        <f>Translations!$B$581</f>
        <v>Tokelau</v>
      </c>
    </row>
    <row r="278" spans="1:1" x14ac:dyDescent="0.25">
      <c r="A278" s="22" t="str">
        <f>Translations!$B$582</f>
        <v>Tonga</v>
      </c>
    </row>
    <row r="279" spans="1:1" x14ac:dyDescent="0.25">
      <c r="A279" s="22" t="str">
        <f>Translations!$B$583</f>
        <v>Trinidad and Tobago</v>
      </c>
    </row>
    <row r="280" spans="1:1" x14ac:dyDescent="0.25">
      <c r="A280" s="22" t="str">
        <f>Translations!$B$584</f>
        <v>Tunisia</v>
      </c>
    </row>
    <row r="281" spans="1:1" x14ac:dyDescent="0.25">
      <c r="A281" s="22" t="str">
        <f>Translations!$B$1323</f>
        <v>Türkiye</v>
      </c>
    </row>
    <row r="282" spans="1:1" x14ac:dyDescent="0.25">
      <c r="A282" s="22" t="str">
        <f>Translations!$B$586</f>
        <v>Turkmenistan</v>
      </c>
    </row>
    <row r="283" spans="1:1" x14ac:dyDescent="0.25">
      <c r="A283" s="22" t="str">
        <f>Translations!$B$587</f>
        <v>Turks and Caicos Islands</v>
      </c>
    </row>
    <row r="284" spans="1:1" x14ac:dyDescent="0.25">
      <c r="A284" s="22" t="str">
        <f>Translations!$B$588</f>
        <v>Tuvalu</v>
      </c>
    </row>
    <row r="285" spans="1:1" x14ac:dyDescent="0.25">
      <c r="A285" s="22" t="str">
        <f>Translations!$B$589</f>
        <v>Uganda</v>
      </c>
    </row>
    <row r="286" spans="1:1" x14ac:dyDescent="0.25">
      <c r="A286" s="22" t="str">
        <f>Translations!$B$590</f>
        <v>Ukraine</v>
      </c>
    </row>
    <row r="287" spans="1:1" x14ac:dyDescent="0.25">
      <c r="A287" s="22" t="str">
        <f>Translations!$B$591</f>
        <v>United Arab Emirates</v>
      </c>
    </row>
    <row r="288" spans="1:1" x14ac:dyDescent="0.25">
      <c r="A288" s="22" t="str">
        <f>Translations!$B$399</f>
        <v>United Kingdom</v>
      </c>
    </row>
    <row r="289" spans="1:1" x14ac:dyDescent="0.25">
      <c r="A289" s="22" t="str">
        <f>Translations!$B$593</f>
        <v>United States</v>
      </c>
    </row>
    <row r="290" spans="1:1" x14ac:dyDescent="0.25">
      <c r="A290" s="22" t="str">
        <f>Translations!$B$595</f>
        <v>Uruguay</v>
      </c>
    </row>
    <row r="291" spans="1:1" x14ac:dyDescent="0.25">
      <c r="A291" s="22" t="str">
        <f>Translations!$B$596</f>
        <v>Uzbekistan</v>
      </c>
    </row>
    <row r="292" spans="1:1" x14ac:dyDescent="0.25">
      <c r="A292" s="22" t="str">
        <f>Translations!$B$597</f>
        <v>Vanuatu</v>
      </c>
    </row>
    <row r="293" spans="1:1" x14ac:dyDescent="0.25">
      <c r="A293" s="22" t="str">
        <f>Translations!$B$598</f>
        <v>Venezuela, Bolivarian Republic of</v>
      </c>
    </row>
    <row r="294" spans="1:1" x14ac:dyDescent="0.25">
      <c r="A294" s="22" t="str">
        <f>Translations!$B$599</f>
        <v>Viet Nam</v>
      </c>
    </row>
    <row r="295" spans="1:1" x14ac:dyDescent="0.25">
      <c r="A295" s="22" t="str">
        <f>Translations!$B$426</f>
        <v>Virgin Islands, British</v>
      </c>
    </row>
    <row r="296" spans="1:1" x14ac:dyDescent="0.25">
      <c r="A296" s="22" t="str">
        <f>Translations!$B$594</f>
        <v>Virgin Islands, U.S.</v>
      </c>
    </row>
    <row r="297" spans="1:1" x14ac:dyDescent="0.25">
      <c r="A297" s="22" t="str">
        <f>Translations!$B$600</f>
        <v>Wallis and Futuna Islands</v>
      </c>
    </row>
    <row r="298" spans="1:1" x14ac:dyDescent="0.25">
      <c r="A298" s="22" t="str">
        <f>Translations!$B$601</f>
        <v>Western Sahara</v>
      </c>
    </row>
    <row r="299" spans="1:1" x14ac:dyDescent="0.25">
      <c r="A299" s="22" t="str">
        <f>Translations!$B$602</f>
        <v>Yemen</v>
      </c>
    </row>
    <row r="300" spans="1:1" x14ac:dyDescent="0.25">
      <c r="A300" s="22" t="str">
        <f>Translations!$B$603</f>
        <v>Zambia</v>
      </c>
    </row>
    <row r="301" spans="1:1" x14ac:dyDescent="0.25">
      <c r="A301" s="22" t="str">
        <f>Translations!$B$604</f>
        <v>Zimbabwe</v>
      </c>
    </row>
    <row r="305" spans="1:1" x14ac:dyDescent="0.25">
      <c r="A305" s="10" t="s">
        <v>282</v>
      </c>
    </row>
    <row r="306" spans="1:1" x14ac:dyDescent="0.25">
      <c r="A306" s="9" t="str">
        <f>Translations!$B$605</f>
        <v>submitted to competent authority</v>
      </c>
    </row>
    <row r="307" spans="1:1" x14ac:dyDescent="0.25">
      <c r="A307" s="9" t="str">
        <f>Translations!$B$606</f>
        <v>approved by competent authority</v>
      </c>
    </row>
    <row r="308" spans="1:1" x14ac:dyDescent="0.25">
      <c r="A308" s="9" t="str">
        <f>Translations!$B$607</f>
        <v>rejected by competent authority</v>
      </c>
    </row>
    <row r="309" spans="1:1" x14ac:dyDescent="0.25">
      <c r="A309" s="9" t="str">
        <f>Translations!$B$608</f>
        <v>returned with remarks</v>
      </c>
    </row>
    <row r="310" spans="1:1" x14ac:dyDescent="0.25">
      <c r="A310" s="9" t="str">
        <f>Translations!$B$609</f>
        <v>working draft</v>
      </c>
    </row>
    <row r="311" spans="1:1" x14ac:dyDescent="0.25">
      <c r="A311" s="9"/>
    </row>
    <row r="318" spans="1:1" x14ac:dyDescent="0.25">
      <c r="A318" s="21" t="s">
        <v>283</v>
      </c>
    </row>
    <row r="319" spans="1:1" x14ac:dyDescent="0.25">
      <c r="A319" s="22" t="str">
        <f>Translations!$B$368</f>
        <v>Please select</v>
      </c>
    </row>
    <row r="320" spans="1:1" x14ac:dyDescent="0.25">
      <c r="A320" s="22" t="str">
        <f>Translations!$B$610</f>
        <v>Commercial</v>
      </c>
    </row>
    <row r="321" spans="1:1" x14ac:dyDescent="0.25">
      <c r="A321" s="22" t="str">
        <f>Translations!$B$611</f>
        <v>Non-commercial</v>
      </c>
    </row>
    <row r="324" spans="1:1" x14ac:dyDescent="0.25">
      <c r="A324" s="21" t="s">
        <v>284</v>
      </c>
    </row>
    <row r="325" spans="1:1" x14ac:dyDescent="0.25">
      <c r="A325" s="22" t="str">
        <f>Translations!$B$368</f>
        <v>Please select</v>
      </c>
    </row>
    <row r="326" spans="1:1" x14ac:dyDescent="0.25">
      <c r="A326" s="22" t="str">
        <f>Translations!$B$612</f>
        <v>Scheduled flights</v>
      </c>
    </row>
    <row r="327" spans="1:1" x14ac:dyDescent="0.25">
      <c r="A327" s="22" t="str">
        <f>Translations!$B$613</f>
        <v>Non-scheduled flights</v>
      </c>
    </row>
    <row r="328" spans="1:1" x14ac:dyDescent="0.25">
      <c r="A328" s="22" t="str">
        <f>Translations!$B$614</f>
        <v>Scheduled and non-scheduled flights</v>
      </c>
    </row>
    <row r="331" spans="1:1" x14ac:dyDescent="0.25">
      <c r="A331" s="21" t="s">
        <v>285</v>
      </c>
    </row>
    <row r="332" spans="1:1" x14ac:dyDescent="0.25">
      <c r="A332" s="22" t="str">
        <f>Translations!$B$368</f>
        <v>Please select</v>
      </c>
    </row>
    <row r="333" spans="1:1" x14ac:dyDescent="0.25">
      <c r="A333" s="23" t="str">
        <f>Translations!$B$615</f>
        <v>Only intra-EEA flights</v>
      </c>
    </row>
    <row r="334" spans="1:1" x14ac:dyDescent="0.25">
      <c r="A334" s="23" t="str">
        <f>Translations!$B$616</f>
        <v>Flights inside and outside the EEA</v>
      </c>
    </row>
    <row r="337" spans="1:1" x14ac:dyDescent="0.25">
      <c r="A337" s="21" t="s">
        <v>286</v>
      </c>
    </row>
    <row r="338" spans="1:1" x14ac:dyDescent="0.25">
      <c r="A338" s="22" t="str">
        <f>Translations!$B$368</f>
        <v>Please select</v>
      </c>
    </row>
    <row r="339" spans="1:1" x14ac:dyDescent="0.25">
      <c r="A339" s="22"/>
    </row>
    <row r="340" spans="1:1" x14ac:dyDescent="0.25">
      <c r="A340" s="22" t="str">
        <f>Translations!$B$617</f>
        <v>Captain</v>
      </c>
    </row>
    <row r="341" spans="1:1" x14ac:dyDescent="0.25">
      <c r="A341" s="22" t="str">
        <f>Translations!$B$618</f>
        <v>Mr</v>
      </c>
    </row>
    <row r="342" spans="1:1" x14ac:dyDescent="0.25">
      <c r="A342" s="22" t="str">
        <f>Translations!$B$619</f>
        <v>Mrs</v>
      </c>
    </row>
    <row r="343" spans="1:1" x14ac:dyDescent="0.25">
      <c r="A343" s="22" t="str">
        <f>Translations!$B$620</f>
        <v>Ms</v>
      </c>
    </row>
    <row r="344" spans="1:1" x14ac:dyDescent="0.25">
      <c r="A344" s="22" t="str">
        <f>Translations!$B$621</f>
        <v>Miss</v>
      </c>
    </row>
    <row r="345" spans="1:1" x14ac:dyDescent="0.25">
      <c r="A345" s="22" t="str">
        <f>Translations!$B$622</f>
        <v>Dr</v>
      </c>
    </row>
    <row r="347" spans="1:1" x14ac:dyDescent="0.25">
      <c r="A347" s="21" t="s">
        <v>287</v>
      </c>
    </row>
    <row r="348" spans="1:1" x14ac:dyDescent="0.25">
      <c r="A348" s="23" t="str">
        <f>Translations!$B$368</f>
        <v>Please select</v>
      </c>
    </row>
    <row r="349" spans="1:1" x14ac:dyDescent="0.25">
      <c r="A349" s="23"/>
    </row>
    <row r="350" spans="1:1" x14ac:dyDescent="0.25">
      <c r="A350" s="22" t="str">
        <f>Translations!$B$623</f>
        <v>Company / Limited Liability Partnership</v>
      </c>
    </row>
    <row r="351" spans="1:1" x14ac:dyDescent="0.25">
      <c r="A351" s="22" t="str">
        <f>Translations!$B$624</f>
        <v>Partnership</v>
      </c>
    </row>
    <row r="352" spans="1:1" x14ac:dyDescent="0.25">
      <c r="A352" s="22" t="str">
        <f>Translations!$B$625</f>
        <v>Individual / Sole Trader</v>
      </c>
    </row>
    <row r="354" spans="1:1" x14ac:dyDescent="0.25">
      <c r="A354" s="21" t="s">
        <v>288</v>
      </c>
    </row>
    <row r="355" spans="1:1" x14ac:dyDescent="0.25">
      <c r="A355" s="22" t="str">
        <f>Translations!$B$368</f>
        <v>Please select</v>
      </c>
    </row>
    <row r="356" spans="1:1" x14ac:dyDescent="0.25">
      <c r="A356" s="22" t="str">
        <f>Translations!$B$626</f>
        <v>Actual/standard mass from Mass &amp; Balance documentation</v>
      </c>
    </row>
    <row r="357" spans="1:1" x14ac:dyDescent="0.25">
      <c r="A357" s="22" t="str">
        <f>Translations!$B$627</f>
        <v>Alternative methodology</v>
      </c>
    </row>
    <row r="359" spans="1:1" x14ac:dyDescent="0.25">
      <c r="A359" s="21" t="s">
        <v>289</v>
      </c>
    </row>
    <row r="360" spans="1:1" x14ac:dyDescent="0.25">
      <c r="A360" s="22" t="str">
        <f>Translations!$B$368</f>
        <v>Please select</v>
      </c>
    </row>
    <row r="361" spans="1:1" x14ac:dyDescent="0.25">
      <c r="A361" s="22" t="str">
        <f>Translations!$B$628</f>
        <v>100 kg default</v>
      </c>
    </row>
    <row r="362" spans="1:1" x14ac:dyDescent="0.25">
      <c r="A362" s="22" t="str">
        <f>Translations!$B$629</f>
        <v>Mass contained in Mass &amp; Balance documentation</v>
      </c>
    </row>
    <row r="364" spans="1:1" x14ac:dyDescent="0.25">
      <c r="A364" s="21" t="s">
        <v>290</v>
      </c>
    </row>
    <row r="365" spans="1:1" x14ac:dyDescent="0.25">
      <c r="A365" s="22"/>
    </row>
    <row r="366" spans="1:1" x14ac:dyDescent="0.25">
      <c r="A366" s="24" t="s">
        <v>291</v>
      </c>
    </row>
    <row r="367" spans="1:1" x14ac:dyDescent="0.25">
      <c r="A367" s="24" t="s">
        <v>292</v>
      </c>
    </row>
    <row r="368" spans="1:1" x14ac:dyDescent="0.25">
      <c r="A368" s="24" t="s">
        <v>293</v>
      </c>
    </row>
    <row r="369" spans="1:1" x14ac:dyDescent="0.25">
      <c r="A369" s="24" t="s">
        <v>294</v>
      </c>
    </row>
    <row r="370" spans="1:1" x14ac:dyDescent="0.25">
      <c r="A370" s="24" t="s">
        <v>295</v>
      </c>
    </row>
    <row r="371" spans="1:1" x14ac:dyDescent="0.25">
      <c r="A371" s="24" t="s">
        <v>296</v>
      </c>
    </row>
    <row r="372" spans="1:1" x14ac:dyDescent="0.25">
      <c r="A372" s="24" t="s">
        <v>297</v>
      </c>
    </row>
    <row r="373" spans="1:1" x14ac:dyDescent="0.25">
      <c r="A373" s="24" t="s">
        <v>298</v>
      </c>
    </row>
    <row r="375" spans="1:1" x14ac:dyDescent="0.25">
      <c r="A375" s="21" t="s">
        <v>299</v>
      </c>
    </row>
    <row r="376" spans="1:1" x14ac:dyDescent="0.25">
      <c r="A376" s="22" t="str">
        <f>Translations!$B$368</f>
        <v>Please select</v>
      </c>
    </row>
    <row r="377" spans="1:1" x14ac:dyDescent="0.25">
      <c r="A377" s="22" t="str">
        <f>Translations!$B$630</f>
        <v>No documented environmental management system in place</v>
      </c>
    </row>
    <row r="378" spans="1:1" x14ac:dyDescent="0.25">
      <c r="A378" s="22" t="str">
        <f>Translations!$B$631</f>
        <v>Documented environmental management system in place</v>
      </c>
    </row>
    <row r="379" spans="1:1" x14ac:dyDescent="0.25">
      <c r="A379" s="22" t="str">
        <f>Translations!$B$632</f>
        <v>Certified environmental management system in place</v>
      </c>
    </row>
    <row r="382" spans="1:1" x14ac:dyDescent="0.25">
      <c r="A382" s="21" t="s">
        <v>300</v>
      </c>
    </row>
    <row r="383" spans="1:1" x14ac:dyDescent="0.25">
      <c r="A383" s="22" t="str">
        <f>Translations!$B$368</f>
        <v>Please select</v>
      </c>
    </row>
    <row r="384" spans="1:1" x14ac:dyDescent="0.25">
      <c r="A384" s="22" t="b">
        <v>1</v>
      </c>
    </row>
    <row r="385" spans="1:1" x14ac:dyDescent="0.25">
      <c r="A385" s="22" t="b">
        <v>0</v>
      </c>
    </row>
    <row r="387" spans="1:1" x14ac:dyDescent="0.25">
      <c r="A387" s="21" t="s">
        <v>301</v>
      </c>
    </row>
    <row r="388" spans="1:1" x14ac:dyDescent="0.25">
      <c r="A388" s="22" t="b">
        <v>1</v>
      </c>
    </row>
    <row r="389" spans="1:1" x14ac:dyDescent="0.25">
      <c r="A389" s="22" t="b">
        <v>0</v>
      </c>
    </row>
    <row r="391" spans="1:1" x14ac:dyDescent="0.25">
      <c r="A391" s="21" t="s">
        <v>302</v>
      </c>
    </row>
    <row r="392" spans="1:1" x14ac:dyDescent="0.25">
      <c r="A392" s="22" t="str">
        <f>Translations!$B$633</f>
        <v>Use by Competent Authority only</v>
      </c>
    </row>
    <row r="393" spans="1:1" x14ac:dyDescent="0.25">
      <c r="A393" s="22" t="str">
        <f>Translations!$B$634</f>
        <v>To be filled in by aircraft operator</v>
      </c>
    </row>
    <row r="396" spans="1:1" x14ac:dyDescent="0.25">
      <c r="A396" s="21" t="s">
        <v>303</v>
      </c>
    </row>
    <row r="397" spans="1:1" x14ac:dyDescent="0.25">
      <c r="A397" s="22" t="str">
        <f>Translations!$B$635</f>
        <v>Monitoring Plan for Annual Emissions</v>
      </c>
    </row>
    <row r="398" spans="1:1" x14ac:dyDescent="0.25">
      <c r="A398" s="22" t="str">
        <f>Translations!$B$636</f>
        <v>Monitoring Plan for  Tonne-Kilometre Data</v>
      </c>
    </row>
    <row r="401" spans="1:1" x14ac:dyDescent="0.25">
      <c r="A401" s="21" t="s">
        <v>304</v>
      </c>
    </row>
    <row r="402" spans="1:1" x14ac:dyDescent="0.25">
      <c r="A402" s="22"/>
    </row>
    <row r="403" spans="1:1" x14ac:dyDescent="0.25">
      <c r="A403" s="22" t="str">
        <f>Translations!$B$637</f>
        <v>n.a.</v>
      </c>
    </row>
    <row r="405" spans="1:1" x14ac:dyDescent="0.25">
      <c r="A405" s="21" t="s">
        <v>305</v>
      </c>
    </row>
    <row r="406" spans="1:1" x14ac:dyDescent="0.25">
      <c r="A406" s="22" t="str">
        <f>Translations!$B$638</f>
        <v>New monitoring plan</v>
      </c>
    </row>
    <row r="407" spans="1:1" x14ac:dyDescent="0.25">
      <c r="A407" s="22" t="str">
        <f>Translations!$B$639</f>
        <v>Updated monitoring plan</v>
      </c>
    </row>
    <row r="410" spans="1:1" x14ac:dyDescent="0.25">
      <c r="A410" s="21" t="s">
        <v>306</v>
      </c>
    </row>
    <row r="411" spans="1:1" x14ac:dyDescent="0.25">
      <c r="A411" s="25" t="b">
        <v>1</v>
      </c>
    </row>
    <row r="412" spans="1:1" x14ac:dyDescent="0.25">
      <c r="A412" s="25" t="b">
        <v>0</v>
      </c>
    </row>
    <row r="413" spans="1:1" x14ac:dyDescent="0.25">
      <c r="A413" s="25">
        <v>1</v>
      </c>
    </row>
    <row r="414" spans="1:1" x14ac:dyDescent="0.25">
      <c r="A414" s="25">
        <v>0</v>
      </c>
    </row>
    <row r="417" spans="1:1" x14ac:dyDescent="0.25">
      <c r="A417" s="21" t="s">
        <v>307</v>
      </c>
    </row>
    <row r="418" spans="1:1" x14ac:dyDescent="0.25">
      <c r="A418" s="23" t="str">
        <f>Translations!$B$368</f>
        <v>Please select</v>
      </c>
    </row>
    <row r="419" spans="1:1" x14ac:dyDescent="0.25">
      <c r="A419" s="23" t="str">
        <f>Translations!$B$640</f>
        <v>As measured by fuel supplier</v>
      </c>
    </row>
    <row r="420" spans="1:1" x14ac:dyDescent="0.25">
      <c r="A420" s="23" t="str">
        <f>Translations!$B$641</f>
        <v>On-board measuring equipment</v>
      </c>
    </row>
    <row r="422" spans="1:1" x14ac:dyDescent="0.25">
      <c r="A422" s="21" t="s">
        <v>308</v>
      </c>
    </row>
    <row r="423" spans="1:1" x14ac:dyDescent="0.25">
      <c r="A423" s="23" t="str">
        <f>Translations!$B$368</f>
        <v>Please select</v>
      </c>
    </row>
    <row r="424" spans="1:1" x14ac:dyDescent="0.25">
      <c r="A424" s="23"/>
    </row>
    <row r="425" spans="1:1" x14ac:dyDescent="0.25">
      <c r="A425" s="23" t="str">
        <f>Translations!$B$642</f>
        <v>Taken from fuel supplier (delivery notes or invoices)</v>
      </c>
    </row>
    <row r="426" spans="1:1" x14ac:dyDescent="0.25">
      <c r="A426" s="23" t="str">
        <f>Translations!$B$643</f>
        <v>Recorded in Mass &amp; Balance documentation</v>
      </c>
    </row>
    <row r="427" spans="1:1" x14ac:dyDescent="0.25">
      <c r="A427" s="23" t="str">
        <f>Translations!$B$644</f>
        <v>Recorded in aircraft technical log</v>
      </c>
    </row>
    <row r="428" spans="1:1" x14ac:dyDescent="0.25">
      <c r="A428" s="23" t="str">
        <f>Translations!$B$645</f>
        <v>Transmitted electronically from aircraft to operator</v>
      </c>
    </row>
    <row r="430" spans="1:1" x14ac:dyDescent="0.25">
      <c r="A430" s="21" t="s">
        <v>309</v>
      </c>
    </row>
    <row r="431" spans="1:1" x14ac:dyDescent="0.25">
      <c r="A431" s="22" t="str">
        <f>Translations!$B$368</f>
        <v>Please select</v>
      </c>
    </row>
    <row r="432" spans="1:1" x14ac:dyDescent="0.25">
      <c r="A432" s="22"/>
    </row>
    <row r="433" spans="1:1" x14ac:dyDescent="0.25">
      <c r="A433" s="22" t="str">
        <f>Translations!$B$646</f>
        <v>Daily</v>
      </c>
    </row>
    <row r="434" spans="1:1" x14ac:dyDescent="0.25">
      <c r="A434" s="22" t="str">
        <f>Translations!$B$647</f>
        <v>Weekly</v>
      </c>
    </row>
    <row r="435" spans="1:1" x14ac:dyDescent="0.25">
      <c r="A435" s="22" t="str">
        <f>Translations!$B$648</f>
        <v>Monthly</v>
      </c>
    </row>
    <row r="436" spans="1:1" x14ac:dyDescent="0.25">
      <c r="A436" s="22" t="str">
        <f>Translations!$B$649</f>
        <v>Annual</v>
      </c>
    </row>
    <row r="438" spans="1:1" x14ac:dyDescent="0.25">
      <c r="A438" s="21" t="s">
        <v>310</v>
      </c>
    </row>
    <row r="439" spans="1:1" x14ac:dyDescent="0.25">
      <c r="A439" s="22" t="str">
        <f>Translations!$B$368</f>
        <v>Please select</v>
      </c>
    </row>
    <row r="440" spans="1:1" x14ac:dyDescent="0.25">
      <c r="A440" s="22" t="str">
        <f>Translations!$B$650</f>
        <v>EF</v>
      </c>
    </row>
    <row r="441" spans="1:1" x14ac:dyDescent="0.25">
      <c r="A441" s="22" t="str">
        <f>Translations!$B$651</f>
        <v>NCV</v>
      </c>
    </row>
    <row r="442" spans="1:1" x14ac:dyDescent="0.25">
      <c r="A442" s="22" t="str">
        <f>Translations!$B$652</f>
        <v>NCV &amp; EF</v>
      </c>
    </row>
    <row r="443" spans="1:1" x14ac:dyDescent="0.25">
      <c r="A443" s="22" t="str">
        <f>Translations!$B$653</f>
        <v>Biogenic content</v>
      </c>
    </row>
    <row r="444" spans="1:1" x14ac:dyDescent="0.25">
      <c r="A444" s="22" t="str">
        <f>Translations!$B$654</f>
        <v>NCV, EF &amp; bio</v>
      </c>
    </row>
    <row r="446" spans="1:1" x14ac:dyDescent="0.25">
      <c r="A446" s="21" t="s">
        <v>311</v>
      </c>
    </row>
    <row r="447" spans="1:1" x14ac:dyDescent="0.25">
      <c r="A447" s="22" t="str">
        <f>Translations!$B$368</f>
        <v>Please select</v>
      </c>
    </row>
    <row r="448" spans="1:1" x14ac:dyDescent="0.25">
      <c r="A448" s="22" t="s">
        <v>312</v>
      </c>
    </row>
    <row r="449" spans="1:1" x14ac:dyDescent="0.25">
      <c r="A449" s="22" t="s">
        <v>313</v>
      </c>
    </row>
    <row r="450" spans="1:1" x14ac:dyDescent="0.25">
      <c r="A450" s="22" t="str">
        <f>Translations!$B$637</f>
        <v>n.a.</v>
      </c>
    </row>
    <row r="452" spans="1:1" x14ac:dyDescent="0.25">
      <c r="A452" s="21" t="s">
        <v>314</v>
      </c>
    </row>
    <row r="453" spans="1:1" x14ac:dyDescent="0.25">
      <c r="A453" s="26" t="str">
        <f>""</f>
        <v/>
      </c>
    </row>
    <row r="454" spans="1:1" x14ac:dyDescent="0.25">
      <c r="A454" s="26">
        <v>2</v>
      </c>
    </row>
    <row r="455" spans="1:1" x14ac:dyDescent="0.25">
      <c r="A455" s="26">
        <v>1</v>
      </c>
    </row>
    <row r="456" spans="1:1" x14ac:dyDescent="0.25">
      <c r="A456" s="26" t="str">
        <f>Translations!$B$637</f>
        <v>n.a.</v>
      </c>
    </row>
    <row r="461" spans="1:1" x14ac:dyDescent="0.25">
      <c r="A461" s="21" t="s">
        <v>315</v>
      </c>
    </row>
    <row r="462" spans="1:1" x14ac:dyDescent="0.25">
      <c r="A462" s="22" t="str">
        <f>Translations!$B$368</f>
        <v>Please select</v>
      </c>
    </row>
    <row r="463" spans="1:1" x14ac:dyDescent="0.25">
      <c r="A463" s="22" t="str">
        <f>Translations!$B$655</f>
        <v>Major</v>
      </c>
    </row>
    <row r="464" spans="1:1" x14ac:dyDescent="0.25">
      <c r="A464" s="22" t="str">
        <f>Translations!$B$656</f>
        <v>Minor</v>
      </c>
    </row>
    <row r="465" spans="1:1" x14ac:dyDescent="0.25">
      <c r="A465" s="22" t="str">
        <f>Translations!$B$657</f>
        <v>De minimis</v>
      </c>
    </row>
    <row r="467" spans="1:1" x14ac:dyDescent="0.25">
      <c r="A467" s="21" t="s">
        <v>316</v>
      </c>
    </row>
    <row r="468" spans="1:1" x14ac:dyDescent="0.25">
      <c r="A468" s="22" t="str">
        <f>Translations!$B$368</f>
        <v>Please select</v>
      </c>
    </row>
    <row r="469" spans="1:1" x14ac:dyDescent="0.25">
      <c r="A469" s="22" t="str">
        <f>Translations!$B$220</f>
        <v>Method A</v>
      </c>
    </row>
    <row r="470" spans="1:1" x14ac:dyDescent="0.25">
      <c r="A470" s="22" t="str">
        <f>Translations!$B$222</f>
        <v>Method B</v>
      </c>
    </row>
    <row r="473" spans="1:1" x14ac:dyDescent="0.25">
      <c r="A473" s="21" t="s">
        <v>317</v>
      </c>
    </row>
    <row r="474" spans="1:1" x14ac:dyDescent="0.25">
      <c r="A474" s="22" t="str">
        <f>Translations!$B$368</f>
        <v>Please select</v>
      </c>
    </row>
    <row r="475" spans="1:1" x14ac:dyDescent="0.25">
      <c r="A475" s="22" t="str">
        <f>Translations!$B$658</f>
        <v>Actual density in aircraft tanks</v>
      </c>
    </row>
    <row r="476" spans="1:1" x14ac:dyDescent="0.25">
      <c r="A476" s="22" t="str">
        <f>Translations!$B$659</f>
        <v>Actual density of uplift</v>
      </c>
    </row>
    <row r="477" spans="1:1" x14ac:dyDescent="0.25">
      <c r="A477" s="22" t="str">
        <f>Translations!$B$660</f>
        <v>Standard value (0.8kg/litre)</v>
      </c>
    </row>
    <row r="480" spans="1:1" x14ac:dyDescent="0.25">
      <c r="A480" s="21" t="s">
        <v>318</v>
      </c>
    </row>
    <row r="481" spans="1:1" x14ac:dyDescent="0.25">
      <c r="A481" s="22" t="str">
        <f>Translations!$B$661</f>
        <v>Jet kerosene</v>
      </c>
    </row>
    <row r="482" spans="1:1" x14ac:dyDescent="0.25">
      <c r="A482" s="22" t="str">
        <f>Translations!$B$662</f>
        <v>Jet gasoline</v>
      </c>
    </row>
    <row r="483" spans="1:1" x14ac:dyDescent="0.25">
      <c r="A483" s="22" t="str">
        <f>Translations!$B$663</f>
        <v>Aviation gasoline</v>
      </c>
    </row>
    <row r="484" spans="1:1" x14ac:dyDescent="0.25">
      <c r="A484" s="22" t="str">
        <f>Translations!$B$664</f>
        <v>Alternative</v>
      </c>
    </row>
    <row r="485" spans="1:1" x14ac:dyDescent="0.25">
      <c r="A485" s="22" t="str">
        <f>Translations!$B$184</f>
        <v>Biofuel</v>
      </c>
    </row>
    <row r="487" spans="1:1" x14ac:dyDescent="0.25">
      <c r="A487" s="21" t="s">
        <v>319</v>
      </c>
    </row>
    <row r="488" spans="1:1" x14ac:dyDescent="0.25">
      <c r="A488" s="22"/>
    </row>
    <row r="489" spans="1:1" x14ac:dyDescent="0.25">
      <c r="A489" s="22" t="s">
        <v>312</v>
      </c>
    </row>
    <row r="490" spans="1:1" x14ac:dyDescent="0.25">
      <c r="A490" s="22" t="s">
        <v>313</v>
      </c>
    </row>
    <row r="491" spans="1:1" x14ac:dyDescent="0.25">
      <c r="A491" s="22" t="str">
        <f>Translations!$B$665</f>
        <v>unknown</v>
      </c>
    </row>
    <row r="494" spans="1:1" x14ac:dyDescent="0.25">
      <c r="A494" s="21" t="s">
        <v>320</v>
      </c>
    </row>
    <row r="495" spans="1:1" x14ac:dyDescent="0.25">
      <c r="A495" s="22" t="str">
        <f>Translations!$B$368</f>
        <v>Please select</v>
      </c>
    </row>
    <row r="496" spans="1:1" x14ac:dyDescent="0.25">
      <c r="A496" s="23" t="str">
        <f>Translations!$B$1195</f>
        <v>Small Emitters Tool (SET) - Eurocontrol's fuel consumption estimation tool</v>
      </c>
    </row>
    <row r="497" spans="1:1" x14ac:dyDescent="0.25">
      <c r="A497" s="23" t="str">
        <f>Translations!$B$1196</f>
        <v>ESF (Eurocontrol EU ETS Support Facility) populated by the SET</v>
      </c>
    </row>
    <row r="498" spans="1:1" x14ac:dyDescent="0.25">
      <c r="A498" s="23" t="str">
        <f>Translations!$B$1197</f>
        <v>Other</v>
      </c>
    </row>
    <row r="504" spans="1:1" x14ac:dyDescent="0.25">
      <c r="A504" s="21" t="s">
        <v>321</v>
      </c>
    </row>
    <row r="505" spans="1:1" x14ac:dyDescent="0.25">
      <c r="A505" s="23" t="str">
        <f>Translations!$B$1293</f>
        <v>Please select or enter name, as appropriate</v>
      </c>
    </row>
    <row r="506" spans="1:1" x14ac:dyDescent="0.25">
      <c r="A506" s="22"/>
    </row>
    <row r="507" spans="1:1" x14ac:dyDescent="0.25">
      <c r="A507" s="22" t="str">
        <f>Translations!$B$637</f>
        <v>n.a.</v>
      </c>
    </row>
    <row r="508" spans="1:1" x14ac:dyDescent="0.25">
      <c r="A508" s="22" t="str">
        <f>Translations!$B$668</f>
        <v>Environment Agency</v>
      </c>
    </row>
    <row r="509" spans="1:1" x14ac:dyDescent="0.25">
      <c r="A509" s="22" t="str">
        <f>Translations!$B$669</f>
        <v>Ministry of Environment</v>
      </c>
    </row>
    <row r="510" spans="1:1" x14ac:dyDescent="0.25">
      <c r="A510" s="22" t="str">
        <f>Translations!$B$670</f>
        <v>Civil Aviation Authority</v>
      </c>
    </row>
    <row r="511" spans="1:1" x14ac:dyDescent="0.25">
      <c r="A511" s="22" t="str">
        <f>Translations!$B$671</f>
        <v>Ministry of Transport</v>
      </c>
    </row>
    <row r="512" spans="1:1" x14ac:dyDescent="0.25">
      <c r="A512" s="23" t="str">
        <f>Translations!$B$1294</f>
        <v>Energy Agency</v>
      </c>
    </row>
    <row r="513" spans="1:1" x14ac:dyDescent="0.25">
      <c r="A513" s="22"/>
    </row>
    <row r="514" spans="1:1" x14ac:dyDescent="0.25">
      <c r="A514" s="22"/>
    </row>
    <row r="515" spans="1:1" x14ac:dyDescent="0.25">
      <c r="A515" s="22"/>
    </row>
    <row r="516" spans="1:1" x14ac:dyDescent="0.25">
      <c r="A516" s="22"/>
    </row>
    <row r="517" spans="1:1" x14ac:dyDescent="0.25">
      <c r="A517" s="22"/>
    </row>
    <row r="518" spans="1:1" x14ac:dyDescent="0.25">
      <c r="A518" s="22"/>
    </row>
    <row r="519" spans="1:1" x14ac:dyDescent="0.25">
      <c r="A519" s="22"/>
    </row>
    <row r="520" spans="1:1" x14ac:dyDescent="0.25">
      <c r="A520" s="22"/>
    </row>
    <row r="521" spans="1:1" x14ac:dyDescent="0.25">
      <c r="A521" s="22"/>
    </row>
    <row r="522" spans="1:1" x14ac:dyDescent="0.25">
      <c r="A522" s="22"/>
    </row>
    <row r="525" spans="1:1" x14ac:dyDescent="0.25">
      <c r="A525" s="21" t="s">
        <v>322</v>
      </c>
    </row>
    <row r="526" spans="1:1" x14ac:dyDescent="0.25">
      <c r="A526" s="22" t="str">
        <f>Translations!$B$368</f>
        <v>Please select</v>
      </c>
    </row>
    <row r="527" spans="1:1" x14ac:dyDescent="0.25">
      <c r="A527" s="22"/>
    </row>
    <row r="528" spans="1:1" x14ac:dyDescent="0.25">
      <c r="A528" s="22" t="str">
        <f>Translations!$B$672</f>
        <v>Afghanistan - Ministry of Transport and Civil Aviation</v>
      </c>
    </row>
    <row r="529" spans="1:1" x14ac:dyDescent="0.25">
      <c r="A529" s="22" t="str">
        <f>Translations!$B$673</f>
        <v>Algeria - Établissement Nationale de la Navigation Aérienne (ENNA)</v>
      </c>
    </row>
    <row r="530" spans="1:1" x14ac:dyDescent="0.25">
      <c r="A530" s="22" t="str">
        <f>Translations!$B$674</f>
        <v>Angola - Instituto Nacional da Aviação Civil</v>
      </c>
    </row>
    <row r="531" spans="1:1" x14ac:dyDescent="0.25">
      <c r="A531" s="22" t="str">
        <f>Translations!$B$675</f>
        <v>Argentina - Comando de Regiones Aéreas</v>
      </c>
    </row>
    <row r="532" spans="1:1" x14ac:dyDescent="0.25">
      <c r="A532" s="22" t="str">
        <f>Translations!$B$676</f>
        <v>Armenia - General Department of Civil Aviation</v>
      </c>
    </row>
    <row r="533" spans="1:1" x14ac:dyDescent="0.25">
      <c r="A533" s="22" t="str">
        <f>Translations!$B$677</f>
        <v>Australia - Civil Aviation Safety Authority</v>
      </c>
    </row>
    <row r="534" spans="1:1" x14ac:dyDescent="0.25">
      <c r="A534" s="22" t="str">
        <f>Translations!$B$678</f>
        <v>Austria - Ministry of Transport, Innovation and Technology</v>
      </c>
    </row>
    <row r="535" spans="1:1" x14ac:dyDescent="0.25">
      <c r="A535" s="22" t="str">
        <f>Translations!$B$679</f>
        <v>Bahrain - Civil Aviation Affairs</v>
      </c>
    </row>
    <row r="536" spans="1:1" x14ac:dyDescent="0.25">
      <c r="A536" s="22" t="str">
        <f>Translations!$B$680</f>
        <v>Belgium - Service public fédéral Mobilité et Transports</v>
      </c>
    </row>
    <row r="537" spans="1:1" x14ac:dyDescent="0.25">
      <c r="A537" s="22" t="str">
        <f>Translations!$B$681</f>
        <v>Bermuda - Bermuda Department of Civil Aviation (DCA)</v>
      </c>
    </row>
    <row r="538" spans="1:1" x14ac:dyDescent="0.25">
      <c r="A538" s="22" t="str">
        <f>Translations!$B$682</f>
        <v>Bolivia - Dirección General de Aeronáutica Civil</v>
      </c>
    </row>
    <row r="539" spans="1:1" x14ac:dyDescent="0.25">
      <c r="A539" s="22" t="str">
        <f>Translations!$B$683</f>
        <v>Bosnia and Herzegovina - Department of Civil Aviation</v>
      </c>
    </row>
    <row r="540" spans="1:1" x14ac:dyDescent="0.25">
      <c r="A540" s="22" t="str">
        <f>Translations!$B$684</f>
        <v>Botswana - Ministry of Works &amp; Transport — Department of Civil Aviation</v>
      </c>
    </row>
    <row r="541" spans="1:1" x14ac:dyDescent="0.25">
      <c r="A541" s="22" t="str">
        <f>Translations!$B$685</f>
        <v>Brazil - Agência Nacional de Aviação Civil (ANAC)</v>
      </c>
    </row>
    <row r="542" spans="1:1" x14ac:dyDescent="0.25">
      <c r="A542" s="22" t="str">
        <f>Translations!$B$686</f>
        <v>Brunei Darussalam - Department of Civil Aviation</v>
      </c>
    </row>
    <row r="543" spans="1:1" x14ac:dyDescent="0.25">
      <c r="A543" s="22" t="str">
        <f>Translations!$B$687</f>
        <v>Bulgaria - Civil Aviation Administration</v>
      </c>
    </row>
    <row r="544" spans="1:1" x14ac:dyDescent="0.25">
      <c r="A544" s="22" t="str">
        <f>Translations!$B$688</f>
        <v>Cambodia - Ministry of Public Works and Transport</v>
      </c>
    </row>
    <row r="545" spans="1:1" x14ac:dyDescent="0.25">
      <c r="A545" s="22" t="str">
        <f>Translations!$B$689</f>
        <v>Canada - Canadian Transportation Agency</v>
      </c>
    </row>
    <row r="546" spans="1:1" x14ac:dyDescent="0.25">
      <c r="A546" s="22" t="str">
        <f>Translations!$B$690</f>
        <v>Cape Verde - Agência de Aviação Civil (AAC)</v>
      </c>
    </row>
    <row r="547" spans="1:1" x14ac:dyDescent="0.25">
      <c r="A547" s="22" t="str">
        <f>Translations!$B$691</f>
        <v>Cayman - Civil Aviation Authority (CAA) of the Cayman Islands</v>
      </c>
    </row>
    <row r="548" spans="1:1" x14ac:dyDescent="0.25">
      <c r="A548" s="22" t="str">
        <f>Translations!$B$692</f>
        <v>Chile - Dirección General de Aeronáutica Civil</v>
      </c>
    </row>
    <row r="549" spans="1:1" x14ac:dyDescent="0.25">
      <c r="A549" s="22" t="str">
        <f>Translations!$B$693</f>
        <v>China - Air Traffic Management Bureau (ATMB), General Administration of Civil Aviation of China</v>
      </c>
    </row>
    <row r="550" spans="1:1" x14ac:dyDescent="0.25">
      <c r="A550" s="22" t="str">
        <f>Translations!$B$694</f>
        <v>Colombia - República de Colombia Aeronáutica Civil</v>
      </c>
    </row>
    <row r="551" spans="1:1" x14ac:dyDescent="0.25">
      <c r="A551" s="22" t="str">
        <f>Translations!$B$695</f>
        <v>Costa Rica - Dirección General de Aviación Civil</v>
      </c>
    </row>
    <row r="552" spans="1:1" x14ac:dyDescent="0.25">
      <c r="A552" s="22" t="str">
        <f>Translations!$B$696</f>
        <v>Croatia - Civil Aviation Authority</v>
      </c>
    </row>
    <row r="553" spans="1:1" x14ac:dyDescent="0.25">
      <c r="A553" s="22" t="str">
        <f>Translations!$B$697</f>
        <v>Cuba - Instituto de Aeronáutica Civil de Cuba</v>
      </c>
    </row>
    <row r="554" spans="1:1" x14ac:dyDescent="0.25">
      <c r="A554" s="22" t="str">
        <f>Translations!$B$698</f>
        <v>Cyprus - Department of Civil Aviation of Cyprus</v>
      </c>
    </row>
    <row r="555" spans="1:1" x14ac:dyDescent="0.25">
      <c r="A555" s="22" t="str">
        <f>Translations!$B$699</f>
        <v>Czechia - Civil Aviation Authority</v>
      </c>
    </row>
    <row r="556" spans="1:1" x14ac:dyDescent="0.25">
      <c r="A556" s="22" t="str">
        <f>Translations!$B$700</f>
        <v>Denmark - Civil Aviation Administration</v>
      </c>
    </row>
    <row r="557" spans="1:1" x14ac:dyDescent="0.25">
      <c r="A557" s="22" t="str">
        <f>Translations!$B$701</f>
        <v>Dominican Republic - Instituto Dominicano de Aviación Civil</v>
      </c>
    </row>
    <row r="558" spans="1:1" x14ac:dyDescent="0.25">
      <c r="A558" s="22" t="str">
        <f>Translations!$B$702</f>
        <v>Ecuador - Dirección General de Aviación Civil del Ecuador</v>
      </c>
    </row>
    <row r="559" spans="1:1" x14ac:dyDescent="0.25">
      <c r="A559" s="22" t="str">
        <f>Translations!$B$703</f>
        <v>Egypt - Ministry of Civil Aviation</v>
      </c>
    </row>
    <row r="560" spans="1:1" x14ac:dyDescent="0.25">
      <c r="A560" s="22" t="str">
        <f>Translations!$B$704</f>
        <v>El Salvador - Autoridad de Aviación Civil – El Salvador</v>
      </c>
    </row>
    <row r="561" spans="1:1" x14ac:dyDescent="0.25">
      <c r="A561" s="22" t="str">
        <f>Translations!$B$705</f>
        <v>Estonia - Estonian Civil Aviation Administration</v>
      </c>
    </row>
    <row r="562" spans="1:1" x14ac:dyDescent="0.25">
      <c r="A562" s="22" t="str">
        <f>Translations!$B$706</f>
        <v>Fiji - Civil Aviation Authority</v>
      </c>
    </row>
    <row r="563" spans="1:1" x14ac:dyDescent="0.25">
      <c r="A563" s="22" t="str">
        <f>Translations!$B$707</f>
        <v>Finland - Civil Aviation Authority</v>
      </c>
    </row>
    <row r="564" spans="1:1" x14ac:dyDescent="0.25">
      <c r="A564" s="22" t="str">
        <f>Translations!$B$708</f>
        <v>France - Direction Générale de I' Aviation Civile (DGAC)</v>
      </c>
    </row>
    <row r="565" spans="1:1" x14ac:dyDescent="0.25">
      <c r="A565" s="22" t="str">
        <f>Translations!$B$709</f>
        <v>Gambia - Gambia Civil Aviation Authority</v>
      </c>
    </row>
    <row r="566" spans="1:1" x14ac:dyDescent="0.25">
      <c r="A566" s="22" t="str">
        <f>Translations!$B$710</f>
        <v>Germany - Air Navigation Services</v>
      </c>
    </row>
    <row r="567" spans="1:1" x14ac:dyDescent="0.25">
      <c r="A567" s="22" t="str">
        <f>Translations!$B$711</f>
        <v>Ghana - Ghana Civil Aviation Authority</v>
      </c>
    </row>
    <row r="568" spans="1:1" x14ac:dyDescent="0.25">
      <c r="A568" s="22" t="str">
        <f>Translations!$B$712</f>
        <v>Greece - Hellenic Civil Aviation Authority</v>
      </c>
    </row>
    <row r="569" spans="1:1" x14ac:dyDescent="0.25">
      <c r="A569" s="22" t="str">
        <f>Translations!$B$713</f>
        <v>Hungary - Directorate for Air Transport</v>
      </c>
    </row>
    <row r="570" spans="1:1" x14ac:dyDescent="0.25">
      <c r="A570" s="22" t="str">
        <f>Translations!$B$714</f>
        <v>Iceland - Civil Aviation Administration</v>
      </c>
    </row>
    <row r="571" spans="1:1" x14ac:dyDescent="0.25">
      <c r="A571" s="22" t="str">
        <f>Translations!$B$715</f>
        <v>India - Directorate General of Civil Aviation</v>
      </c>
    </row>
    <row r="572" spans="1:1" x14ac:dyDescent="0.25">
      <c r="A572" s="22" t="str">
        <f>Translations!$B$716</f>
        <v>Indonesia - Direktorat Jenderal Perhubungan Udara</v>
      </c>
    </row>
    <row r="573" spans="1:1" x14ac:dyDescent="0.25">
      <c r="A573" s="22" t="str">
        <f>Translations!$B$717</f>
        <v>Iran, Islamic Republic of - Civil Aviation Organization of Iran</v>
      </c>
    </row>
    <row r="574" spans="1:1" x14ac:dyDescent="0.25">
      <c r="A574" s="22" t="str">
        <f>Translations!$B$718</f>
        <v>Ireland - Irish Aviation Authority</v>
      </c>
    </row>
    <row r="575" spans="1:1" x14ac:dyDescent="0.25">
      <c r="A575" s="23" t="str">
        <f>Translations!$B$831</f>
        <v>Ireland - Commission for Aviation Regulation</v>
      </c>
    </row>
    <row r="576" spans="1:1" x14ac:dyDescent="0.25">
      <c r="A576" s="22" t="str">
        <f>Translations!$B$719</f>
        <v>Israel - Civil Aviation Authority</v>
      </c>
    </row>
    <row r="577" spans="1:1" x14ac:dyDescent="0.25">
      <c r="A577" s="23" t="str">
        <f>Translations!$B$1032</f>
        <v>Italy - ENAC - Ente Nazionale per l'Aviazione Civile</v>
      </c>
    </row>
    <row r="578" spans="1:1" x14ac:dyDescent="0.25">
      <c r="A578" s="22" t="str">
        <f>Translations!$B$721</f>
        <v>Jamaica - Civil Aviation Authority</v>
      </c>
    </row>
    <row r="579" spans="1:1" x14ac:dyDescent="0.25">
      <c r="A579" s="22" t="str">
        <f>Translations!$B$722</f>
        <v>Japan - Ministry of Land, Infrastructure and Transport</v>
      </c>
    </row>
    <row r="580" spans="1:1" x14ac:dyDescent="0.25">
      <c r="A580" s="22" t="str">
        <f>Translations!$B$723</f>
        <v>Jordan - Civil Aviation Regulatory Commission (CARC) (formerly called "Jordan Civil Aviation Authority (JCAA)")</v>
      </c>
    </row>
    <row r="581" spans="1:1" x14ac:dyDescent="0.25">
      <c r="A581" s="22" t="str">
        <f>Translations!$B$1198</f>
        <v>Kazakhstan - Civil Aviation Committee</v>
      </c>
    </row>
    <row r="582" spans="1:1" x14ac:dyDescent="0.25">
      <c r="A582" s="22" t="str">
        <f>Translations!$B$724</f>
        <v>Kenya - Kenya Civil Aviation Authority</v>
      </c>
    </row>
    <row r="583" spans="1:1" x14ac:dyDescent="0.25">
      <c r="A583" s="22" t="str">
        <f>Translations!$B$725</f>
        <v>Kuwait - Directorate General of Civil Aviation</v>
      </c>
    </row>
    <row r="584" spans="1:1" x14ac:dyDescent="0.25">
      <c r="A584" s="22" t="str">
        <f>Translations!$B$726</f>
        <v>Latvia - Civil Aviation Agency</v>
      </c>
    </row>
    <row r="585" spans="1:1" x14ac:dyDescent="0.25">
      <c r="A585" s="22" t="str">
        <f>Translations!$B$727</f>
        <v>Lebanon - Lebanese Civil Aviation Authority</v>
      </c>
    </row>
    <row r="586" spans="1:1" x14ac:dyDescent="0.25">
      <c r="A586" s="22" t="str">
        <f>Translations!$B$728</f>
        <v>Libyan Arab Jamahiriya - Libyan Civil Aviation Authority</v>
      </c>
    </row>
    <row r="587" spans="1:1" x14ac:dyDescent="0.25">
      <c r="A587" s="22" t="str">
        <f>Translations!$B$729</f>
        <v>Lithuania - Directorate of Civil Aviation</v>
      </c>
    </row>
    <row r="588" spans="1:1" x14ac:dyDescent="0.25">
      <c r="A588" s="22" t="str">
        <f>Translations!$B$730</f>
        <v>Malaysia - Department of Civil Aviation</v>
      </c>
    </row>
    <row r="589" spans="1:1" x14ac:dyDescent="0.25">
      <c r="A589" s="22" t="str">
        <f>Translations!$B$731</f>
        <v>Maldives - Civil Aviation Department</v>
      </c>
    </row>
    <row r="590" spans="1:1" x14ac:dyDescent="0.25">
      <c r="A590" s="22" t="str">
        <f>Translations!$B$1199</f>
        <v>Malta - Transport Malta - Civil Aviation Directorate</v>
      </c>
    </row>
    <row r="591" spans="1:1" x14ac:dyDescent="0.25">
      <c r="A591" s="22" t="str">
        <f>Translations!$B$733</f>
        <v>Mexico - Secretaría de Comunicaciones y Transportes</v>
      </c>
    </row>
    <row r="592" spans="1:1" x14ac:dyDescent="0.25">
      <c r="A592" s="22" t="str">
        <f>Translations!$B$734</f>
        <v>Mongolia - Civil Aviation Authority</v>
      </c>
    </row>
    <row r="593" spans="1:1" x14ac:dyDescent="0.25">
      <c r="A593" s="22" t="str">
        <f>Translations!$B$735</f>
        <v>Montenegro - Ministry Maritime Affairs, Transportation and Telecommunications</v>
      </c>
    </row>
    <row r="594" spans="1:1" x14ac:dyDescent="0.25">
      <c r="A594" s="22" t="str">
        <f>Translations!$B$736</f>
        <v>Morocco - Ministère des Transports</v>
      </c>
    </row>
    <row r="595" spans="1:1" x14ac:dyDescent="0.25">
      <c r="A595" s="22" t="str">
        <f>Translations!$B$737</f>
        <v>Namibia - Directorate of Civil Aviation (DCA Namibia)</v>
      </c>
    </row>
    <row r="596" spans="1:1" x14ac:dyDescent="0.25">
      <c r="A596" s="22" t="str">
        <f>Translations!$B$738</f>
        <v>Nepal - Civil Aviation Authority of Nepal</v>
      </c>
    </row>
    <row r="597" spans="1:1" x14ac:dyDescent="0.25">
      <c r="A597" s="22" t="str">
        <f>Translations!$B$739</f>
        <v>Netherlands - Directorate General of Civil Aviation and Freight Transport (DGTL)</v>
      </c>
    </row>
    <row r="598" spans="1:1" x14ac:dyDescent="0.25">
      <c r="A598" s="22" t="str">
        <f>Translations!$B$740</f>
        <v>New Zealand - Airways Corporation of New Zealand</v>
      </c>
    </row>
    <row r="599" spans="1:1" x14ac:dyDescent="0.25">
      <c r="A599" s="22" t="str">
        <f>Translations!$B$741</f>
        <v>Nicaragua - Instituto Nicaragüense de Aeronáutica Civíl</v>
      </c>
    </row>
    <row r="600" spans="1:1" x14ac:dyDescent="0.25">
      <c r="A600" s="22" t="str">
        <f>Translations!$B$742</f>
        <v>Nigeria - Nigerian Civil Aviation Authority (NCAA)</v>
      </c>
    </row>
    <row r="601" spans="1:1" x14ac:dyDescent="0.25">
      <c r="A601" s="22" t="str">
        <f>Translations!$B$743</f>
        <v>Norway - Civil Aviation Authority</v>
      </c>
    </row>
    <row r="602" spans="1:1" x14ac:dyDescent="0.25">
      <c r="A602" s="22" t="str">
        <f>Translations!$B$744</f>
        <v>Oman - Directorate General of Civil Aviation and Meteorology</v>
      </c>
    </row>
    <row r="603" spans="1:1" x14ac:dyDescent="0.25">
      <c r="A603" s="22" t="str">
        <f>Translations!$B$745</f>
        <v>Pakistan - Civil Aviation Authority</v>
      </c>
    </row>
    <row r="604" spans="1:1" x14ac:dyDescent="0.25">
      <c r="A604" s="22" t="str">
        <f>Translations!$B$746</f>
        <v>Paraguay - Dirección Nacional de Aeronáutica Civil (DINAC)</v>
      </c>
    </row>
    <row r="605" spans="1:1" x14ac:dyDescent="0.25">
      <c r="A605" s="22" t="str">
        <f>Translations!$B$747</f>
        <v>Peru - Dirección General de Aeronáutica Civil</v>
      </c>
    </row>
    <row r="606" spans="1:1" x14ac:dyDescent="0.25">
      <c r="A606" s="22" t="str">
        <f>Translations!$B$748</f>
        <v>Philippines - Air Transportation Office (ATO)</v>
      </c>
    </row>
    <row r="607" spans="1:1" x14ac:dyDescent="0.25">
      <c r="A607" s="22" t="str">
        <f>Translations!$B$749</f>
        <v>Poland - Civil Aviation Office</v>
      </c>
    </row>
    <row r="608" spans="1:1" x14ac:dyDescent="0.25">
      <c r="A608" s="22" t="str">
        <f>Translations!$B$750</f>
        <v>Portugal - Instituto Nacional de Aviação Civil</v>
      </c>
    </row>
    <row r="609" spans="1:1" x14ac:dyDescent="0.25">
      <c r="A609" s="22" t="str">
        <f>Translations!$B$751</f>
        <v>Republic of Korea - Ministry of Construction and Transportation</v>
      </c>
    </row>
    <row r="610" spans="1:1" x14ac:dyDescent="0.25">
      <c r="A610" s="22" t="str">
        <f>Translations!$B$752</f>
        <v>Republic of Moldova - Civil Aviation Administration</v>
      </c>
    </row>
    <row r="611" spans="1:1" x14ac:dyDescent="0.25">
      <c r="A611" s="22" t="str">
        <f>Translations!$B$753</f>
        <v>Romania - Romanian Civil Aeronautical Authority</v>
      </c>
    </row>
    <row r="612" spans="1:1" x14ac:dyDescent="0.25">
      <c r="A612" s="22" t="str">
        <f>Translations!$B$754</f>
        <v>Russian Federation - State Civil Aviation Authority</v>
      </c>
    </row>
    <row r="613" spans="1:1" x14ac:dyDescent="0.25">
      <c r="A613" s="22" t="str">
        <f>Translations!$B$755</f>
        <v>Saudi Arabia - Ministry of Defense and Aviation Presidency of Civil Aviation</v>
      </c>
    </row>
    <row r="614" spans="1:1" x14ac:dyDescent="0.25">
      <c r="A614" s="22" t="str">
        <f>Translations!$B$756</f>
        <v>Serbia - Civil Aviation Directorate</v>
      </c>
    </row>
    <row r="615" spans="1:1" x14ac:dyDescent="0.25">
      <c r="A615" s="22" t="str">
        <f>Translations!$B$757</f>
        <v>Seychelles - Directorate of Civil Aviation, Ministry of Tourism</v>
      </c>
    </row>
    <row r="616" spans="1:1" x14ac:dyDescent="0.25">
      <c r="A616" s="22" t="str">
        <f>Translations!$B$758</f>
        <v>Singapore - Civil Aviation Authority of Singapore</v>
      </c>
    </row>
    <row r="617" spans="1:1" x14ac:dyDescent="0.25">
      <c r="A617" s="22" t="str">
        <f>Translations!$B$759</f>
        <v>Slovakia - Civil Aviation Authority</v>
      </c>
    </row>
    <row r="618" spans="1:1" x14ac:dyDescent="0.25">
      <c r="A618" s="22" t="str">
        <f>Translations!$B$760</f>
        <v>Slovenia - Civil Aviation Authority</v>
      </c>
    </row>
    <row r="619" spans="1:1" x14ac:dyDescent="0.25">
      <c r="A619" s="22" t="str">
        <f>Translations!$B$761</f>
        <v>Somalia - Civil Aviation Caretaker Authority for Somalia</v>
      </c>
    </row>
    <row r="620" spans="1:1" x14ac:dyDescent="0.25">
      <c r="A620" s="22" t="str">
        <f>Translations!$B$762</f>
        <v>South Africa - Civil Aviation Authority</v>
      </c>
    </row>
    <row r="621" spans="1:1" x14ac:dyDescent="0.25">
      <c r="A621" s="22" t="str">
        <f>Translations!$B$763</f>
        <v>Spain - Ministerio de Fomento, Civil Aviation</v>
      </c>
    </row>
    <row r="622" spans="1:1" x14ac:dyDescent="0.25">
      <c r="A622" s="22" t="str">
        <f>Translations!$B$764</f>
        <v>Sri Lanka - Civil Aviation Authority</v>
      </c>
    </row>
    <row r="623" spans="1:1" x14ac:dyDescent="0.25">
      <c r="A623" s="22" t="str">
        <f>Translations!$B$765</f>
        <v>Sudan - Civil Aviation Authority</v>
      </c>
    </row>
    <row r="624" spans="1:1" x14ac:dyDescent="0.25">
      <c r="A624" s="22" t="str">
        <f>Translations!$B$766</f>
        <v>Suriname - Civil Aviation Department of Suriname</v>
      </c>
    </row>
    <row r="625" spans="1:1" x14ac:dyDescent="0.25">
      <c r="A625" s="22" t="str">
        <f>Translations!$B$767</f>
        <v>Sweden - Swedish Civil Aviation Authority</v>
      </c>
    </row>
    <row r="626" spans="1:1" x14ac:dyDescent="0.25">
      <c r="A626" s="22" t="str">
        <f>Translations!$B$768</f>
        <v>Switzerland - Federal Office for Civil Aviation (FOCA)</v>
      </c>
    </row>
    <row r="627" spans="1:1" x14ac:dyDescent="0.25">
      <c r="A627" s="22" t="str">
        <f>Translations!$B$769</f>
        <v>Thailand - Department of Civil Aviation</v>
      </c>
    </row>
    <row r="628" spans="1:1" x14ac:dyDescent="0.25">
      <c r="A628" s="22" t="str">
        <f>Translations!$B$770</f>
        <v>North Macedonia - Civil Aviation Administration</v>
      </c>
    </row>
    <row r="629" spans="1:1" x14ac:dyDescent="0.25">
      <c r="A629" s="22" t="str">
        <f>Translations!$B$771</f>
        <v>Tonga - Ministry of Civil Aviation</v>
      </c>
    </row>
    <row r="630" spans="1:1" x14ac:dyDescent="0.25">
      <c r="A630" s="22" t="str">
        <f>Translations!$B$772</f>
        <v>Trinidad and Tobago - Civil Aviation Authority</v>
      </c>
    </row>
    <row r="631" spans="1:1" x14ac:dyDescent="0.25">
      <c r="A631" s="22" t="str">
        <f>Translations!$B$773</f>
        <v>Tunisia - Office de l'aviation civile et des aéroports</v>
      </c>
    </row>
    <row r="632" spans="1:1" x14ac:dyDescent="0.25">
      <c r="A632" s="22" t="str">
        <f>Translations!$B$1324</f>
        <v>Türkiye - Directorate General of Civil Aviation</v>
      </c>
    </row>
    <row r="633" spans="1:1" x14ac:dyDescent="0.25">
      <c r="A633" s="22" t="str">
        <f>Translations!$B$775</f>
        <v>Uganda - Civil Aviation Authority</v>
      </c>
    </row>
    <row r="634" spans="1:1" x14ac:dyDescent="0.25">
      <c r="A634" s="22" t="str">
        <f>Translations!$B$776</f>
        <v>Ukraine - Civil Aviation Authority</v>
      </c>
    </row>
    <row r="635" spans="1:1" x14ac:dyDescent="0.25">
      <c r="A635" s="22" t="str">
        <f>Translations!$B$777</f>
        <v>United Kingdom Civil Aviation Authority</v>
      </c>
    </row>
    <row r="636" spans="1:1" x14ac:dyDescent="0.25">
      <c r="A636" s="22" t="str">
        <f>Translations!$B$778</f>
        <v>United Arab Emirates - General Civil Aviation Authority (GCAA)</v>
      </c>
    </row>
    <row r="637" spans="1:1" x14ac:dyDescent="0.25">
      <c r="A637" s="22" t="str">
        <f>Translations!$B$779</f>
        <v>United Republic of Tanzania - Tanzania Civil Aviation Authority (TCAA)</v>
      </c>
    </row>
    <row r="638" spans="1:1" x14ac:dyDescent="0.25">
      <c r="A638" s="22" t="str">
        <f>Translations!$B$780</f>
        <v>United States - Federal Aviation Administration</v>
      </c>
    </row>
    <row r="639" spans="1:1" x14ac:dyDescent="0.25">
      <c r="A639" s="22" t="str">
        <f>Translations!$B$781</f>
        <v>Uruguay - Dirección Nacional de Aviación Civil e Infraestructura Aeronáutica (DINACIA)</v>
      </c>
    </row>
    <row r="640" spans="1:1" x14ac:dyDescent="0.25">
      <c r="A640" s="22" t="str">
        <f>Translations!$B$782</f>
        <v>Vanuatu - Vanuatu Civil Aviation Authority</v>
      </c>
    </row>
    <row r="641" spans="1:5" x14ac:dyDescent="0.25">
      <c r="A641" s="22" t="str">
        <f>Translations!$B$783</f>
        <v>Yemen - Civil Aviation and Meteorological Authority (CAMA)</v>
      </c>
    </row>
    <row r="642" spans="1:5" x14ac:dyDescent="0.25">
      <c r="A642" s="22" t="str">
        <f>Translations!$B$784</f>
        <v>Zambia - Department of Civil Aviation</v>
      </c>
    </row>
    <row r="643" spans="1:5" ht="13.8" thickBot="1" x14ac:dyDescent="0.3"/>
    <row r="644" spans="1:5" ht="13.8" thickBot="1" x14ac:dyDescent="0.3">
      <c r="A644" s="21" t="s">
        <v>323</v>
      </c>
      <c r="B644" s="758" t="s">
        <v>324</v>
      </c>
      <c r="C644" s="758"/>
      <c r="D644" s="366" t="s">
        <v>325</v>
      </c>
    </row>
    <row r="645" spans="1:5" x14ac:dyDescent="0.25">
      <c r="A645" s="332" t="str">
        <f>Translations!$B$1151</f>
        <v>Jet-A</v>
      </c>
      <c r="B645" s="759">
        <v>3.15</v>
      </c>
      <c r="C645" s="759">
        <v>3.16</v>
      </c>
      <c r="D645" s="754">
        <v>3.16</v>
      </c>
      <c r="E645" s="757" t="s">
        <v>326</v>
      </c>
    </row>
    <row r="646" spans="1:5" x14ac:dyDescent="0.25">
      <c r="A646" s="332" t="str">
        <f>Translations!$B$1152</f>
        <v>Jet-A1</v>
      </c>
      <c r="B646" s="759">
        <v>3.15</v>
      </c>
      <c r="C646" s="759">
        <v>3.16</v>
      </c>
      <c r="D646" s="755">
        <v>3.16</v>
      </c>
      <c r="E646" s="303" t="s">
        <v>327</v>
      </c>
    </row>
    <row r="647" spans="1:5" x14ac:dyDescent="0.25">
      <c r="A647" s="332" t="str">
        <f>Translations!$B$1153</f>
        <v>Jet-B</v>
      </c>
      <c r="B647" s="759">
        <v>3.1</v>
      </c>
      <c r="C647" s="759">
        <v>3.1</v>
      </c>
      <c r="D647" s="755">
        <v>3.1</v>
      </c>
    </row>
    <row r="648" spans="1:5" ht="13.8" thickBot="1" x14ac:dyDescent="0.3">
      <c r="A648" s="332" t="str">
        <f>Translations!$B$1154</f>
        <v>AvGas</v>
      </c>
      <c r="B648" s="759">
        <v>3.1</v>
      </c>
      <c r="C648" s="759">
        <v>3.1</v>
      </c>
      <c r="D648" s="756">
        <v>3.1</v>
      </c>
    </row>
    <row r="650" spans="1:5" x14ac:dyDescent="0.25">
      <c r="A650" s="21" t="s">
        <v>328</v>
      </c>
      <c r="D650" t="s">
        <v>329</v>
      </c>
    </row>
    <row r="651" spans="1:5" x14ac:dyDescent="0.25">
      <c r="A651" s="332" t="str">
        <f>Translations!$B$1200</f>
        <v>EU ETS</v>
      </c>
    </row>
    <row r="652" spans="1:5" x14ac:dyDescent="0.25">
      <c r="A652" s="332" t="str">
        <f>Translations!$B$1201</f>
        <v>CORSIA</v>
      </c>
    </row>
    <row r="655" spans="1:5" x14ac:dyDescent="0.25">
      <c r="A655" s="21" t="s">
        <v>330</v>
      </c>
    </row>
    <row r="656" spans="1:5" x14ac:dyDescent="0.25">
      <c r="A656" s="23" t="str">
        <f>Translations!$B$1202</f>
        <v>&lt;Please select&gt;</v>
      </c>
    </row>
    <row r="657" spans="1:1" x14ac:dyDescent="0.25">
      <c r="A657" s="22" t="str">
        <f>Translations!$B$1203</f>
        <v>Bulgarian</v>
      </c>
    </row>
    <row r="658" spans="1:1" x14ac:dyDescent="0.25">
      <c r="A658" s="22" t="str">
        <f>Translations!$B$1204</f>
        <v>Spanish</v>
      </c>
    </row>
    <row r="659" spans="1:1" x14ac:dyDescent="0.25">
      <c r="A659" s="22" t="str">
        <f>Translations!$B$1205</f>
        <v>Croatian</v>
      </c>
    </row>
    <row r="660" spans="1:1" x14ac:dyDescent="0.25">
      <c r="A660" s="22" t="str">
        <f>Translations!$B$1206</f>
        <v>Czech</v>
      </c>
    </row>
    <row r="661" spans="1:1" x14ac:dyDescent="0.25">
      <c r="A661" s="22" t="str">
        <f>Translations!$B$1207</f>
        <v>Danish</v>
      </c>
    </row>
    <row r="662" spans="1:1" x14ac:dyDescent="0.25">
      <c r="A662" s="22" t="str">
        <f>Translations!$B$1208</f>
        <v>German</v>
      </c>
    </row>
    <row r="663" spans="1:1" x14ac:dyDescent="0.25">
      <c r="A663" s="22" t="str">
        <f>Translations!$B$1209</f>
        <v>Estonian</v>
      </c>
    </row>
    <row r="664" spans="1:1" x14ac:dyDescent="0.25">
      <c r="A664" s="22" t="str">
        <f>Translations!$B$1210</f>
        <v>Greek</v>
      </c>
    </row>
    <row r="665" spans="1:1" x14ac:dyDescent="0.25">
      <c r="A665" s="22" t="str">
        <f>Translations!$B$1211</f>
        <v>English</v>
      </c>
    </row>
    <row r="666" spans="1:1" x14ac:dyDescent="0.25">
      <c r="A666" s="22" t="str">
        <f>Translations!$B$1212</f>
        <v>French</v>
      </c>
    </row>
    <row r="667" spans="1:1" x14ac:dyDescent="0.25">
      <c r="A667" s="22" t="str">
        <f>Translations!$B$1213</f>
        <v>Icelandic</v>
      </c>
    </row>
    <row r="668" spans="1:1" x14ac:dyDescent="0.25">
      <c r="A668" s="22" t="str">
        <f>Translations!$B$1214</f>
        <v>Italian</v>
      </c>
    </row>
    <row r="669" spans="1:1" x14ac:dyDescent="0.25">
      <c r="A669" s="22" t="str">
        <f>Translations!$B$1215</f>
        <v>Latvian</v>
      </c>
    </row>
    <row r="670" spans="1:1" x14ac:dyDescent="0.25">
      <c r="A670" s="22" t="str">
        <f>Translations!$B$1216</f>
        <v>Lithuanian</v>
      </c>
    </row>
    <row r="671" spans="1:1" x14ac:dyDescent="0.25">
      <c r="A671" s="22" t="str">
        <f>Translations!$B$1217</f>
        <v>Hungarian</v>
      </c>
    </row>
    <row r="672" spans="1:1" x14ac:dyDescent="0.25">
      <c r="A672" s="22" t="str">
        <f>Translations!$B$1218</f>
        <v>Maltese</v>
      </c>
    </row>
    <row r="673" spans="1:1" x14ac:dyDescent="0.25">
      <c r="A673" s="22" t="str">
        <f>Translations!$B$1219</f>
        <v>Norwegian</v>
      </c>
    </row>
    <row r="674" spans="1:1" x14ac:dyDescent="0.25">
      <c r="A674" s="22" t="str">
        <f>Translations!$B$1220</f>
        <v>Dutch</v>
      </c>
    </row>
    <row r="675" spans="1:1" x14ac:dyDescent="0.25">
      <c r="A675" s="22" t="str">
        <f>Translations!$B$1221</f>
        <v>Polish</v>
      </c>
    </row>
    <row r="676" spans="1:1" x14ac:dyDescent="0.25">
      <c r="A676" s="22" t="str">
        <f>Translations!$B$1222</f>
        <v>Portuguese</v>
      </c>
    </row>
    <row r="677" spans="1:1" x14ac:dyDescent="0.25">
      <c r="A677" s="22" t="str">
        <f>Translations!$B$1223</f>
        <v>Romanian</v>
      </c>
    </row>
    <row r="678" spans="1:1" x14ac:dyDescent="0.25">
      <c r="A678" s="22" t="str">
        <f>Translations!$B$1224</f>
        <v>Slovak</v>
      </c>
    </row>
    <row r="679" spans="1:1" x14ac:dyDescent="0.25">
      <c r="A679" s="22" t="str">
        <f>Translations!$B$1225</f>
        <v>Slovenian</v>
      </c>
    </row>
    <row r="680" spans="1:1" x14ac:dyDescent="0.25">
      <c r="A680" s="22" t="str">
        <f>Translations!$B$1226</f>
        <v>Finnish</v>
      </c>
    </row>
    <row r="681" spans="1:1" x14ac:dyDescent="0.25">
      <c r="A681" s="22" t="str">
        <f>Translations!$B$1227</f>
        <v>Swedish</v>
      </c>
    </row>
    <row r="685" spans="1:1" x14ac:dyDescent="0.25">
      <c r="A685" s="10" t="str">
        <f>Translations!$B$1231</f>
        <v>ICAO Member State List</v>
      </c>
    </row>
    <row r="686" spans="1:1" x14ac:dyDescent="0.25">
      <c r="A686" s="452" t="str">
        <f>Translations!$B$400</f>
        <v>Afghanistan</v>
      </c>
    </row>
    <row r="687" spans="1:1" x14ac:dyDescent="0.25">
      <c r="A687" s="452" t="str">
        <f>Translations!$B$401</f>
        <v>Albania</v>
      </c>
    </row>
    <row r="688" spans="1:1" x14ac:dyDescent="0.25">
      <c r="A688" s="452" t="str">
        <f>Translations!$B$402</f>
        <v>Algeria</v>
      </c>
    </row>
    <row r="689" spans="1:1" x14ac:dyDescent="0.25">
      <c r="A689" s="452" t="str">
        <f>Translations!$B$404</f>
        <v>Andorra</v>
      </c>
    </row>
    <row r="690" spans="1:1" x14ac:dyDescent="0.25">
      <c r="A690" s="452" t="str">
        <f>Translations!$B$405</f>
        <v>Angola</v>
      </c>
    </row>
    <row r="691" spans="1:1" x14ac:dyDescent="0.25">
      <c r="A691" s="452" t="str">
        <f>Translations!$B$407</f>
        <v>Antigua and Barbuda</v>
      </c>
    </row>
    <row r="692" spans="1:1" x14ac:dyDescent="0.25">
      <c r="A692" s="452" t="str">
        <f>Translations!$B$408</f>
        <v>Argentina</v>
      </c>
    </row>
    <row r="693" spans="1:1" x14ac:dyDescent="0.25">
      <c r="A693" s="452" t="str">
        <f>Translations!$B$409</f>
        <v>Armenia</v>
      </c>
    </row>
    <row r="694" spans="1:1" x14ac:dyDescent="0.25">
      <c r="A694" s="452" t="str">
        <f>Translations!$B$411</f>
        <v>Australia</v>
      </c>
    </row>
    <row r="695" spans="1:1" x14ac:dyDescent="0.25">
      <c r="A695" s="452" t="str">
        <f>Translations!$B$369</f>
        <v>Austria</v>
      </c>
    </row>
    <row r="696" spans="1:1" x14ac:dyDescent="0.25">
      <c r="A696" s="452" t="str">
        <f>Translations!$B$412</f>
        <v>Azerbaijan</v>
      </c>
    </row>
    <row r="697" spans="1:1" x14ac:dyDescent="0.25">
      <c r="A697" s="452" t="str">
        <f>Translations!$B$413</f>
        <v>Bahamas</v>
      </c>
    </row>
    <row r="698" spans="1:1" x14ac:dyDescent="0.25">
      <c r="A698" s="452" t="str">
        <f>Translations!$B$414</f>
        <v>Bahrain</v>
      </c>
    </row>
    <row r="699" spans="1:1" x14ac:dyDescent="0.25">
      <c r="A699" s="452" t="str">
        <f>Translations!$B$415</f>
        <v>Bangladesh</v>
      </c>
    </row>
    <row r="700" spans="1:1" x14ac:dyDescent="0.25">
      <c r="A700" s="452" t="str">
        <f>Translations!$B$416</f>
        <v>Barbados</v>
      </c>
    </row>
    <row r="701" spans="1:1" x14ac:dyDescent="0.25">
      <c r="A701" s="452" t="str">
        <f>Translations!$B$417</f>
        <v>Belarus</v>
      </c>
    </row>
    <row r="702" spans="1:1" x14ac:dyDescent="0.25">
      <c r="A702" s="452" t="str">
        <f>Translations!$B$370</f>
        <v>Belgium</v>
      </c>
    </row>
    <row r="703" spans="1:1" x14ac:dyDescent="0.25">
      <c r="A703" s="452" t="str">
        <f>Translations!$B$418</f>
        <v>Belize</v>
      </c>
    </row>
    <row r="704" spans="1:1" x14ac:dyDescent="0.25">
      <c r="A704" s="452" t="str">
        <f>Translations!$B$419</f>
        <v>Benin</v>
      </c>
    </row>
    <row r="705" spans="1:1" x14ac:dyDescent="0.25">
      <c r="A705" s="452" t="str">
        <f>Translations!$B$421</f>
        <v>Bhutan</v>
      </c>
    </row>
    <row r="706" spans="1:1" x14ac:dyDescent="0.25">
      <c r="A706" s="452" t="str">
        <f>Translations!$B$1232</f>
        <v>Bolivia (Plurinational State of)</v>
      </c>
    </row>
    <row r="707" spans="1:1" x14ac:dyDescent="0.25">
      <c r="A707" s="452" t="str">
        <f>Translations!$B$423</f>
        <v>Bosnia and Herzegovina</v>
      </c>
    </row>
    <row r="708" spans="1:1" x14ac:dyDescent="0.25">
      <c r="A708" s="452" t="str">
        <f>Translations!$B$424</f>
        <v>Botswana</v>
      </c>
    </row>
    <row r="709" spans="1:1" x14ac:dyDescent="0.25">
      <c r="A709" s="452" t="str">
        <f>Translations!$B$425</f>
        <v>Brazil</v>
      </c>
    </row>
    <row r="710" spans="1:1" x14ac:dyDescent="0.25">
      <c r="A710" s="452" t="str">
        <f>Translations!$B$427</f>
        <v>Brunei Darussalam</v>
      </c>
    </row>
    <row r="711" spans="1:1" x14ac:dyDescent="0.25">
      <c r="A711" s="452" t="str">
        <f>Translations!$B$371</f>
        <v>Bulgaria</v>
      </c>
    </row>
    <row r="712" spans="1:1" x14ac:dyDescent="0.25">
      <c r="A712" s="452" t="str">
        <f>Translations!$B$428</f>
        <v>Burkina Faso</v>
      </c>
    </row>
    <row r="713" spans="1:1" x14ac:dyDescent="0.25">
      <c r="A713" s="452" t="str">
        <f>Translations!$B$429</f>
        <v>Burundi</v>
      </c>
    </row>
    <row r="714" spans="1:1" x14ac:dyDescent="0.25">
      <c r="A714" s="452" t="str">
        <f>Translations!$B$1233</f>
        <v>Cabo Verde</v>
      </c>
    </row>
    <row r="715" spans="1:1" x14ac:dyDescent="0.25">
      <c r="A715" s="452" t="str">
        <f>Translations!$B$430</f>
        <v>Cambodia</v>
      </c>
    </row>
    <row r="716" spans="1:1" x14ac:dyDescent="0.25">
      <c r="A716" s="452" t="str">
        <f>Translations!$B$431</f>
        <v>Cameroon</v>
      </c>
    </row>
    <row r="717" spans="1:1" x14ac:dyDescent="0.25">
      <c r="A717" s="452" t="str">
        <f>Translations!$B$432</f>
        <v>Canada</v>
      </c>
    </row>
    <row r="718" spans="1:1" x14ac:dyDescent="0.25">
      <c r="A718" s="452" t="str">
        <f>Translations!$B$435</f>
        <v>Central African Republic</v>
      </c>
    </row>
    <row r="719" spans="1:1" x14ac:dyDescent="0.25">
      <c r="A719" s="452" t="str">
        <f>Translations!$B$436</f>
        <v>Chad</v>
      </c>
    </row>
    <row r="720" spans="1:1" x14ac:dyDescent="0.25">
      <c r="A720" s="452" t="str">
        <f>Translations!$B$438</f>
        <v>Chile</v>
      </c>
    </row>
    <row r="721" spans="1:1" x14ac:dyDescent="0.25">
      <c r="A721" s="452" t="str">
        <f>Translations!$B$439</f>
        <v>China</v>
      </c>
    </row>
    <row r="722" spans="1:1" x14ac:dyDescent="0.25">
      <c r="A722" s="452" t="str">
        <f>Translations!$B$442</f>
        <v>Colombia</v>
      </c>
    </row>
    <row r="723" spans="1:1" x14ac:dyDescent="0.25">
      <c r="A723" s="452" t="str">
        <f>Translations!$B$443</f>
        <v>Comoros</v>
      </c>
    </row>
    <row r="724" spans="1:1" x14ac:dyDescent="0.25">
      <c r="A724" s="452" t="str">
        <f>Translations!$B$444</f>
        <v>Congo</v>
      </c>
    </row>
    <row r="725" spans="1:1" x14ac:dyDescent="0.25">
      <c r="A725" s="452" t="str">
        <f>Translations!$B$445</f>
        <v>Cook Islands</v>
      </c>
    </row>
    <row r="726" spans="1:1" x14ac:dyDescent="0.25">
      <c r="A726" s="452" t="str">
        <f>Translations!$B$446</f>
        <v>Costa Rica</v>
      </c>
    </row>
    <row r="727" spans="1:1" x14ac:dyDescent="0.25">
      <c r="A727" s="452" t="str">
        <f>Translations!$B$447</f>
        <v>Côte d'Ivoire</v>
      </c>
    </row>
    <row r="728" spans="1:1" x14ac:dyDescent="0.25">
      <c r="A728" s="452" t="str">
        <f>Translations!$B$372</f>
        <v>Croatia</v>
      </c>
    </row>
    <row r="729" spans="1:1" x14ac:dyDescent="0.25">
      <c r="A729" s="452" t="str">
        <f>Translations!$B$448</f>
        <v>Cuba</v>
      </c>
    </row>
    <row r="730" spans="1:1" x14ac:dyDescent="0.25">
      <c r="A730" s="452" t="str">
        <f>Translations!$B$373</f>
        <v>Cyprus</v>
      </c>
    </row>
    <row r="731" spans="1:1" x14ac:dyDescent="0.25">
      <c r="A731" s="452" t="str">
        <f>Translations!$B$374</f>
        <v>Czechia</v>
      </c>
    </row>
    <row r="732" spans="1:1" x14ac:dyDescent="0.25">
      <c r="A732" s="452" t="str">
        <f>Translations!$B$1234</f>
        <v>Democratic People's Republic of Korea</v>
      </c>
    </row>
    <row r="733" spans="1:1" x14ac:dyDescent="0.25">
      <c r="A733" s="452" t="str">
        <f>Translations!$B$1235</f>
        <v>Democratic Republic of the Congo</v>
      </c>
    </row>
    <row r="734" spans="1:1" x14ac:dyDescent="0.25">
      <c r="A734" s="452" t="str">
        <f>Translations!$B$375</f>
        <v>Denmark</v>
      </c>
    </row>
    <row r="735" spans="1:1" x14ac:dyDescent="0.25">
      <c r="A735" s="452" t="str">
        <f>Translations!$B$451</f>
        <v>Djibouti</v>
      </c>
    </row>
    <row r="736" spans="1:1" x14ac:dyDescent="0.25">
      <c r="A736" s="452" t="str">
        <f>Translations!$B$452</f>
        <v>Dominica</v>
      </c>
    </row>
    <row r="737" spans="1:1" x14ac:dyDescent="0.25">
      <c r="A737" s="452" t="str">
        <f>Translations!$B$453</f>
        <v>Dominican Republic</v>
      </c>
    </row>
    <row r="738" spans="1:1" x14ac:dyDescent="0.25">
      <c r="A738" s="452" t="str">
        <f>Translations!$B$454</f>
        <v>Ecuador</v>
      </c>
    </row>
    <row r="739" spans="1:1" x14ac:dyDescent="0.25">
      <c r="A739" s="452" t="str">
        <f>Translations!$B$455</f>
        <v>Egypt</v>
      </c>
    </row>
    <row r="740" spans="1:1" x14ac:dyDescent="0.25">
      <c r="A740" s="452" t="str">
        <f>Translations!$B$456</f>
        <v>El Salvador</v>
      </c>
    </row>
    <row r="741" spans="1:1" x14ac:dyDescent="0.25">
      <c r="A741" s="452" t="str">
        <f>Translations!$B$457</f>
        <v>Equatorial Guinea</v>
      </c>
    </row>
    <row r="742" spans="1:1" x14ac:dyDescent="0.25">
      <c r="A742" s="452" t="str">
        <f>Translations!$B$458</f>
        <v>Eritrea</v>
      </c>
    </row>
    <row r="743" spans="1:1" x14ac:dyDescent="0.25">
      <c r="A743" s="452" t="str">
        <f>Translations!$B$376</f>
        <v>Estonia</v>
      </c>
    </row>
    <row r="744" spans="1:1" x14ac:dyDescent="0.25">
      <c r="A744" s="452" t="str">
        <f>Translations!$B$1236</f>
        <v>Eswatini</v>
      </c>
    </row>
    <row r="745" spans="1:1" x14ac:dyDescent="0.25">
      <c r="A745" s="452" t="str">
        <f>Translations!$B$459</f>
        <v>Ethiopia</v>
      </c>
    </row>
    <row r="746" spans="1:1" x14ac:dyDescent="0.25">
      <c r="A746" s="452" t="str">
        <f>Translations!$B$462</f>
        <v>Fiji</v>
      </c>
    </row>
    <row r="747" spans="1:1" x14ac:dyDescent="0.25">
      <c r="A747" s="452" t="str">
        <f>Translations!$B$377</f>
        <v>Finland</v>
      </c>
    </row>
    <row r="748" spans="1:1" x14ac:dyDescent="0.25">
      <c r="A748" s="452" t="str">
        <f>Translations!$B$378</f>
        <v>France</v>
      </c>
    </row>
    <row r="749" spans="1:1" x14ac:dyDescent="0.25">
      <c r="A749" s="452" t="str">
        <f>Translations!$B$465</f>
        <v>Gabon</v>
      </c>
    </row>
    <row r="750" spans="1:1" x14ac:dyDescent="0.25">
      <c r="A750" s="452" t="str">
        <f>Translations!$B$466</f>
        <v>Gambia</v>
      </c>
    </row>
    <row r="751" spans="1:1" x14ac:dyDescent="0.25">
      <c r="A751" s="452" t="str">
        <f>Translations!$B$467</f>
        <v>Georgia</v>
      </c>
    </row>
    <row r="752" spans="1:1" x14ac:dyDescent="0.25">
      <c r="A752" s="452" t="str">
        <f>Translations!$B$379</f>
        <v>Germany</v>
      </c>
    </row>
    <row r="753" spans="1:1" x14ac:dyDescent="0.25">
      <c r="A753" s="452" t="str">
        <f>Translations!$B$468</f>
        <v>Ghana</v>
      </c>
    </row>
    <row r="754" spans="1:1" x14ac:dyDescent="0.25">
      <c r="A754" s="452" t="str">
        <f>Translations!$B$380</f>
        <v>Greece</v>
      </c>
    </row>
    <row r="755" spans="1:1" x14ac:dyDescent="0.25">
      <c r="A755" s="452" t="str">
        <f>Translations!$B$471</f>
        <v>Grenada</v>
      </c>
    </row>
    <row r="756" spans="1:1" x14ac:dyDescent="0.25">
      <c r="A756" s="452" t="str">
        <f>Translations!$B$474</f>
        <v>Guatemala</v>
      </c>
    </row>
    <row r="757" spans="1:1" x14ac:dyDescent="0.25">
      <c r="A757" s="452" t="str">
        <f>Translations!$B$476</f>
        <v>Guinea</v>
      </c>
    </row>
    <row r="758" spans="1:1" x14ac:dyDescent="0.25">
      <c r="A758" s="452" t="str">
        <f>Translations!$B$477</f>
        <v>Guinea-Bissau</v>
      </c>
    </row>
    <row r="759" spans="1:1" x14ac:dyDescent="0.25">
      <c r="A759" s="452" t="str">
        <f>Translations!$B$478</f>
        <v>Guyana</v>
      </c>
    </row>
    <row r="760" spans="1:1" x14ac:dyDescent="0.25">
      <c r="A760" s="452" t="str">
        <f>Translations!$B$479</f>
        <v>Haiti</v>
      </c>
    </row>
    <row r="761" spans="1:1" x14ac:dyDescent="0.25">
      <c r="A761" s="452" t="str">
        <f>Translations!$B$481</f>
        <v>Honduras</v>
      </c>
    </row>
    <row r="762" spans="1:1" x14ac:dyDescent="0.25">
      <c r="A762" s="452" t="str">
        <f>Translations!$B$381</f>
        <v>Hungary</v>
      </c>
    </row>
    <row r="763" spans="1:1" x14ac:dyDescent="0.25">
      <c r="A763" s="452" t="str">
        <f>Translations!$B$382</f>
        <v>Iceland</v>
      </c>
    </row>
    <row r="764" spans="1:1" x14ac:dyDescent="0.25">
      <c r="A764" s="452" t="str">
        <f>Translations!$B$482</f>
        <v>India</v>
      </c>
    </row>
    <row r="765" spans="1:1" x14ac:dyDescent="0.25">
      <c r="A765" s="452" t="str">
        <f>Translations!$B$483</f>
        <v>Indonesia</v>
      </c>
    </row>
    <row r="766" spans="1:1" x14ac:dyDescent="0.25">
      <c r="A766" s="452" t="str">
        <f>Translations!$B$1237</f>
        <v>Iran (Islamic Republic of)</v>
      </c>
    </row>
    <row r="767" spans="1:1" x14ac:dyDescent="0.25">
      <c r="A767" s="452" t="str">
        <f>Translations!$B$485</f>
        <v>Iraq</v>
      </c>
    </row>
    <row r="768" spans="1:1" x14ac:dyDescent="0.25">
      <c r="A768" s="452" t="str">
        <f>Translations!$B$383</f>
        <v>Ireland</v>
      </c>
    </row>
    <row r="769" spans="1:1" x14ac:dyDescent="0.25">
      <c r="A769" s="452" t="str">
        <f>Translations!$B$487</f>
        <v>Israel</v>
      </c>
    </row>
    <row r="770" spans="1:1" x14ac:dyDescent="0.25">
      <c r="A770" s="452" t="str">
        <f>Translations!$B$384</f>
        <v>Italy</v>
      </c>
    </row>
    <row r="771" spans="1:1" x14ac:dyDescent="0.25">
      <c r="A771" s="452" t="str">
        <f>Translations!$B$488</f>
        <v>Jamaica</v>
      </c>
    </row>
    <row r="772" spans="1:1" x14ac:dyDescent="0.25">
      <c r="A772" s="452" t="str">
        <f>Translations!$B$489</f>
        <v>Japan</v>
      </c>
    </row>
    <row r="773" spans="1:1" x14ac:dyDescent="0.25">
      <c r="A773" s="452" t="str">
        <f>Translations!$B$491</f>
        <v>Jordan</v>
      </c>
    </row>
    <row r="774" spans="1:1" x14ac:dyDescent="0.25">
      <c r="A774" s="452" t="str">
        <f>Translations!$B$492</f>
        <v>Kazakhstan</v>
      </c>
    </row>
    <row r="775" spans="1:1" x14ac:dyDescent="0.25">
      <c r="A775" s="452" t="str">
        <f>Translations!$B$493</f>
        <v>Kenya</v>
      </c>
    </row>
    <row r="776" spans="1:1" x14ac:dyDescent="0.25">
      <c r="A776" s="452" t="str">
        <f>Translations!$B$494</f>
        <v>Kiribati</v>
      </c>
    </row>
    <row r="777" spans="1:1" x14ac:dyDescent="0.25">
      <c r="A777" s="452" t="str">
        <f>Translations!$B$495</f>
        <v>Kuwait</v>
      </c>
    </row>
    <row r="778" spans="1:1" x14ac:dyDescent="0.25">
      <c r="A778" s="452" t="str">
        <f>Translations!$B$496</f>
        <v>Kyrgyzstan</v>
      </c>
    </row>
    <row r="779" spans="1:1" x14ac:dyDescent="0.25">
      <c r="A779" s="452" t="str">
        <f>Translations!$B$497</f>
        <v>Lao People's Democratic Republic</v>
      </c>
    </row>
    <row r="780" spans="1:1" x14ac:dyDescent="0.25">
      <c r="A780" s="452" t="str">
        <f>Translations!$B$385</f>
        <v>Latvia</v>
      </c>
    </row>
    <row r="781" spans="1:1" x14ac:dyDescent="0.25">
      <c r="A781" s="452" t="str">
        <f>Translations!$B$498</f>
        <v>Lebanon</v>
      </c>
    </row>
    <row r="782" spans="1:1" x14ac:dyDescent="0.25">
      <c r="A782" s="452" t="str">
        <f>Translations!$B$499</f>
        <v>Lesotho</v>
      </c>
    </row>
    <row r="783" spans="1:1" x14ac:dyDescent="0.25">
      <c r="A783" s="452" t="str">
        <f>Translations!$B$500</f>
        <v>Liberia</v>
      </c>
    </row>
    <row r="784" spans="1:1" x14ac:dyDescent="0.25">
      <c r="A784" s="452" t="str">
        <f>Translations!$B$501</f>
        <v>Libya</v>
      </c>
    </row>
    <row r="785" spans="1:1" x14ac:dyDescent="0.25">
      <c r="A785" s="452" t="str">
        <f>Translations!$B$387</f>
        <v>Lithuania</v>
      </c>
    </row>
    <row r="786" spans="1:1" x14ac:dyDescent="0.25">
      <c r="A786" s="452" t="str">
        <f>Translations!$B$388</f>
        <v>Luxembourg</v>
      </c>
    </row>
    <row r="787" spans="1:1" x14ac:dyDescent="0.25">
      <c r="A787" s="452" t="str">
        <f>Translations!$B$502</f>
        <v>Madagascar</v>
      </c>
    </row>
    <row r="788" spans="1:1" x14ac:dyDescent="0.25">
      <c r="A788" s="452" t="str">
        <f>Translations!$B$503</f>
        <v>Malawi</v>
      </c>
    </row>
    <row r="789" spans="1:1" x14ac:dyDescent="0.25">
      <c r="A789" s="452" t="str">
        <f>Translations!$B$504</f>
        <v>Malaysia</v>
      </c>
    </row>
    <row r="790" spans="1:1" x14ac:dyDescent="0.25">
      <c r="A790" s="452" t="str">
        <f>Translations!$B$505</f>
        <v>Maldives</v>
      </c>
    </row>
    <row r="791" spans="1:1" x14ac:dyDescent="0.25">
      <c r="A791" s="452" t="str">
        <f>Translations!$B$506</f>
        <v>Mali</v>
      </c>
    </row>
    <row r="792" spans="1:1" x14ac:dyDescent="0.25">
      <c r="A792" s="452" t="str">
        <f>Translations!$B$389</f>
        <v>Malta</v>
      </c>
    </row>
    <row r="793" spans="1:1" x14ac:dyDescent="0.25">
      <c r="A793" s="452" t="str">
        <f>Translations!$B$507</f>
        <v>Marshall Islands</v>
      </c>
    </row>
    <row r="794" spans="1:1" x14ac:dyDescent="0.25">
      <c r="A794" s="452" t="str">
        <f>Translations!$B$509</f>
        <v>Mauritania</v>
      </c>
    </row>
    <row r="795" spans="1:1" x14ac:dyDescent="0.25">
      <c r="A795" s="452" t="str">
        <f>Translations!$B$510</f>
        <v>Mauritius</v>
      </c>
    </row>
    <row r="796" spans="1:1" x14ac:dyDescent="0.25">
      <c r="A796" s="452" t="str">
        <f>Translations!$B$512</f>
        <v>Mexico</v>
      </c>
    </row>
    <row r="797" spans="1:1" x14ac:dyDescent="0.25">
      <c r="A797" s="452" t="str">
        <f>Translations!$B$1238</f>
        <v>Micronesia (Federated States of)</v>
      </c>
    </row>
    <row r="798" spans="1:1" x14ac:dyDescent="0.25">
      <c r="A798" s="452" t="str">
        <f>Translations!$B$514</f>
        <v>Monaco</v>
      </c>
    </row>
    <row r="799" spans="1:1" x14ac:dyDescent="0.25">
      <c r="A799" s="452" t="str">
        <f>Translations!$B$515</f>
        <v>Mongolia</v>
      </c>
    </row>
    <row r="800" spans="1:1" x14ac:dyDescent="0.25">
      <c r="A800" s="452" t="str">
        <f>Translations!$B$516</f>
        <v>Montenegro</v>
      </c>
    </row>
    <row r="801" spans="1:1" x14ac:dyDescent="0.25">
      <c r="A801" s="452" t="str">
        <f>Translations!$B$518</f>
        <v>Morocco</v>
      </c>
    </row>
    <row r="802" spans="1:1" x14ac:dyDescent="0.25">
      <c r="A802" s="452" t="str">
        <f>Translations!$B$519</f>
        <v>Mozambique</v>
      </c>
    </row>
    <row r="803" spans="1:1" x14ac:dyDescent="0.25">
      <c r="A803" s="452" t="str">
        <f>Translations!$B$520</f>
        <v>Myanmar</v>
      </c>
    </row>
    <row r="804" spans="1:1" x14ac:dyDescent="0.25">
      <c r="A804" s="452" t="str">
        <f>Translations!$B$521</f>
        <v>Namibia</v>
      </c>
    </row>
    <row r="805" spans="1:1" x14ac:dyDescent="0.25">
      <c r="A805" s="452" t="str">
        <f>Translations!$B$522</f>
        <v>Nauru</v>
      </c>
    </row>
    <row r="806" spans="1:1" x14ac:dyDescent="0.25">
      <c r="A806" s="452" t="str">
        <f>Translations!$B$523</f>
        <v>Nepal</v>
      </c>
    </row>
    <row r="807" spans="1:1" x14ac:dyDescent="0.25">
      <c r="A807" s="452" t="str">
        <f>Translations!$B$390</f>
        <v>Netherlands</v>
      </c>
    </row>
    <row r="808" spans="1:1" x14ac:dyDescent="0.25">
      <c r="A808" s="452" t="str">
        <f>Translations!$B$526</f>
        <v>New Zealand</v>
      </c>
    </row>
    <row r="809" spans="1:1" x14ac:dyDescent="0.25">
      <c r="A809" s="452" t="str">
        <f>Translations!$B$527</f>
        <v>Nicaragua</v>
      </c>
    </row>
    <row r="810" spans="1:1" x14ac:dyDescent="0.25">
      <c r="A810" s="452" t="str">
        <f>Translations!$B$528</f>
        <v>Niger</v>
      </c>
    </row>
    <row r="811" spans="1:1" x14ac:dyDescent="0.25">
      <c r="A811" s="452" t="str">
        <f>Translations!$B$529</f>
        <v>Nigeria</v>
      </c>
    </row>
    <row r="812" spans="1:1" x14ac:dyDescent="0.25">
      <c r="A812" s="452" t="str">
        <f>Translations!$B$1194</f>
        <v>North Macedonia</v>
      </c>
    </row>
    <row r="813" spans="1:1" x14ac:dyDescent="0.25">
      <c r="A813" s="452" t="str">
        <f>Translations!$B$391</f>
        <v>Norway</v>
      </c>
    </row>
    <row r="814" spans="1:1" x14ac:dyDescent="0.25">
      <c r="A814" s="452" t="str">
        <f>Translations!$B$534</f>
        <v>Oman</v>
      </c>
    </row>
    <row r="815" spans="1:1" x14ac:dyDescent="0.25">
      <c r="A815" s="452" t="str">
        <f>Translations!$B$535</f>
        <v>Pakistan</v>
      </c>
    </row>
    <row r="816" spans="1:1" x14ac:dyDescent="0.25">
      <c r="A816" s="452" t="str">
        <f>Translations!$B$536</f>
        <v>Palau</v>
      </c>
    </row>
    <row r="817" spans="1:1" x14ac:dyDescent="0.25">
      <c r="A817" s="452" t="str">
        <f>Translations!$B$537</f>
        <v>Panama</v>
      </c>
    </row>
    <row r="818" spans="1:1" x14ac:dyDescent="0.25">
      <c r="A818" s="452" t="str">
        <f>Translations!$B$538</f>
        <v>Papua New Guinea</v>
      </c>
    </row>
    <row r="819" spans="1:1" x14ac:dyDescent="0.25">
      <c r="A819" s="452" t="str">
        <f>Translations!$B$539</f>
        <v>Paraguay</v>
      </c>
    </row>
    <row r="820" spans="1:1" x14ac:dyDescent="0.25">
      <c r="A820" s="452" t="str">
        <f>Translations!$B$540</f>
        <v>Peru</v>
      </c>
    </row>
    <row r="821" spans="1:1" x14ac:dyDescent="0.25">
      <c r="A821" s="452" t="str">
        <f>Translations!$B$541</f>
        <v>Philippines</v>
      </c>
    </row>
    <row r="822" spans="1:1" x14ac:dyDescent="0.25">
      <c r="A822" s="452" t="str">
        <f>Translations!$B$392</f>
        <v>Poland</v>
      </c>
    </row>
    <row r="823" spans="1:1" x14ac:dyDescent="0.25">
      <c r="A823" s="452" t="str">
        <f>Translations!$B$393</f>
        <v>Portugal</v>
      </c>
    </row>
    <row r="824" spans="1:1" x14ac:dyDescent="0.25">
      <c r="A824" s="452" t="str">
        <f>Translations!$B$544</f>
        <v>Qatar</v>
      </c>
    </row>
    <row r="825" spans="1:1" x14ac:dyDescent="0.25">
      <c r="A825" s="452" t="str">
        <f>Translations!$B$1239</f>
        <v>Republic of Korea</v>
      </c>
    </row>
    <row r="826" spans="1:1" x14ac:dyDescent="0.25">
      <c r="A826" s="452" t="str">
        <f>Translations!$B$1240</f>
        <v>Republic of Moldova</v>
      </c>
    </row>
    <row r="827" spans="1:1" x14ac:dyDescent="0.25">
      <c r="A827" s="452" t="str">
        <f>Translations!$B$394</f>
        <v>Romania</v>
      </c>
    </row>
    <row r="828" spans="1:1" x14ac:dyDescent="0.25">
      <c r="A828" s="452" t="str">
        <f>Translations!$B$548</f>
        <v>Russian Federation</v>
      </c>
    </row>
    <row r="829" spans="1:1" x14ac:dyDescent="0.25">
      <c r="A829" s="452" t="str">
        <f>Translations!$B$549</f>
        <v>Rwanda</v>
      </c>
    </row>
    <row r="830" spans="1:1" x14ac:dyDescent="0.25">
      <c r="A830" s="452" t="str">
        <f>Translations!$B$552</f>
        <v>Saint Kitts and Nevis</v>
      </c>
    </row>
    <row r="831" spans="1:1" x14ac:dyDescent="0.25">
      <c r="A831" s="452" t="str">
        <f>Translations!$B$553</f>
        <v>Saint Lucia</v>
      </c>
    </row>
    <row r="832" spans="1:1" x14ac:dyDescent="0.25">
      <c r="A832" s="452" t="str">
        <f>Translations!$B$556</f>
        <v>Saint Vincent and the Grenadines</v>
      </c>
    </row>
    <row r="833" spans="1:1" x14ac:dyDescent="0.25">
      <c r="A833" s="452" t="str">
        <f>Translations!$B$557</f>
        <v>Samoa</v>
      </c>
    </row>
    <row r="834" spans="1:1" x14ac:dyDescent="0.25">
      <c r="A834" s="452" t="str">
        <f>Translations!$B$558</f>
        <v>San Marino</v>
      </c>
    </row>
    <row r="835" spans="1:1" x14ac:dyDescent="0.25">
      <c r="A835" s="452" t="str">
        <f>Translations!$B$559</f>
        <v>Sao Tome and Principe</v>
      </c>
    </row>
    <row r="836" spans="1:1" x14ac:dyDescent="0.25">
      <c r="A836" s="452" t="str">
        <f>Translations!$B$560</f>
        <v>Saudi Arabia</v>
      </c>
    </row>
    <row r="837" spans="1:1" x14ac:dyDescent="0.25">
      <c r="A837" s="452" t="str">
        <f>Translations!$B$561</f>
        <v>Senegal</v>
      </c>
    </row>
    <row r="838" spans="1:1" x14ac:dyDescent="0.25">
      <c r="A838" s="452" t="str">
        <f>Translations!$B$562</f>
        <v>Serbia</v>
      </c>
    </row>
    <row r="839" spans="1:1" x14ac:dyDescent="0.25">
      <c r="A839" s="452" t="str">
        <f>Translations!$B$563</f>
        <v>Seychelles</v>
      </c>
    </row>
    <row r="840" spans="1:1" x14ac:dyDescent="0.25">
      <c r="A840" s="452" t="str">
        <f>Translations!$B$564</f>
        <v>Sierra Leone</v>
      </c>
    </row>
    <row r="841" spans="1:1" x14ac:dyDescent="0.25">
      <c r="A841" s="452" t="str">
        <f>Translations!$B$565</f>
        <v>Singapore</v>
      </c>
    </row>
    <row r="842" spans="1:1" x14ac:dyDescent="0.25">
      <c r="A842" s="452" t="str">
        <f>Translations!$B$395</f>
        <v>Slovakia</v>
      </c>
    </row>
    <row r="843" spans="1:1" x14ac:dyDescent="0.25">
      <c r="A843" s="452" t="str">
        <f>Translations!$B$396</f>
        <v>Slovenia</v>
      </c>
    </row>
    <row r="844" spans="1:1" x14ac:dyDescent="0.25">
      <c r="A844" s="452" t="str">
        <f>Translations!$B$566</f>
        <v>Solomon Islands</v>
      </c>
    </row>
    <row r="845" spans="1:1" x14ac:dyDescent="0.25">
      <c r="A845" s="452" t="str">
        <f>Translations!$B$567</f>
        <v>Somalia</v>
      </c>
    </row>
    <row r="846" spans="1:1" x14ac:dyDescent="0.25">
      <c r="A846" s="452" t="str">
        <f>Translations!$B$568</f>
        <v>South Africa</v>
      </c>
    </row>
    <row r="847" spans="1:1" x14ac:dyDescent="0.25">
      <c r="A847" s="452" t="str">
        <f>Translations!$B$829</f>
        <v>South Sudan</v>
      </c>
    </row>
    <row r="848" spans="1:1" x14ac:dyDescent="0.25">
      <c r="A848" s="452" t="str">
        <f>Translations!$B$397</f>
        <v>Spain</v>
      </c>
    </row>
    <row r="849" spans="1:1" x14ac:dyDescent="0.25">
      <c r="A849" s="452" t="str">
        <f>Translations!$B$569</f>
        <v>Sri Lanka</v>
      </c>
    </row>
    <row r="850" spans="1:1" x14ac:dyDescent="0.25">
      <c r="A850" s="452" t="str">
        <f>Translations!$B$570</f>
        <v>Sudan</v>
      </c>
    </row>
    <row r="851" spans="1:1" x14ac:dyDescent="0.25">
      <c r="A851" s="452" t="str">
        <f>Translations!$B$571</f>
        <v>Suriname</v>
      </c>
    </row>
    <row r="852" spans="1:1" x14ac:dyDescent="0.25">
      <c r="A852" s="452" t="str">
        <f>Translations!$B$398</f>
        <v>Sweden</v>
      </c>
    </row>
    <row r="853" spans="1:1" x14ac:dyDescent="0.25">
      <c r="A853" s="452" t="str">
        <f>Translations!$B$574</f>
        <v>Switzerland</v>
      </c>
    </row>
    <row r="854" spans="1:1" x14ac:dyDescent="0.25">
      <c r="A854" s="452" t="str">
        <f>Translations!$B$575</f>
        <v>Syrian Arab Republic</v>
      </c>
    </row>
    <row r="855" spans="1:1" x14ac:dyDescent="0.25">
      <c r="A855" s="452" t="str">
        <f>Translations!$B$576</f>
        <v>Tajikistan</v>
      </c>
    </row>
    <row r="856" spans="1:1" x14ac:dyDescent="0.25">
      <c r="A856" s="452" t="str">
        <f>Translations!$B$577</f>
        <v>Thailand</v>
      </c>
    </row>
    <row r="857" spans="1:1" x14ac:dyDescent="0.25">
      <c r="A857" s="452" t="str">
        <f>Translations!$B$579</f>
        <v>Timor-Leste</v>
      </c>
    </row>
    <row r="858" spans="1:1" x14ac:dyDescent="0.25">
      <c r="A858" s="452" t="str">
        <f>Translations!$B$580</f>
        <v>Togo</v>
      </c>
    </row>
    <row r="859" spans="1:1" x14ac:dyDescent="0.25">
      <c r="A859" s="452" t="str">
        <f>Translations!$B$582</f>
        <v>Tonga</v>
      </c>
    </row>
    <row r="860" spans="1:1" x14ac:dyDescent="0.25">
      <c r="A860" s="452" t="str">
        <f>Translations!$B$583</f>
        <v>Trinidad and Tobago</v>
      </c>
    </row>
    <row r="861" spans="1:1" x14ac:dyDescent="0.25">
      <c r="A861" s="452" t="str">
        <f>Translations!$B$584</f>
        <v>Tunisia</v>
      </c>
    </row>
    <row r="862" spans="1:1" x14ac:dyDescent="0.25">
      <c r="A862" s="452" t="str">
        <f>Translations!$B$1323</f>
        <v>Türkiye</v>
      </c>
    </row>
    <row r="863" spans="1:1" x14ac:dyDescent="0.25">
      <c r="A863" s="452" t="str">
        <f>Translations!$B$586</f>
        <v>Turkmenistan</v>
      </c>
    </row>
    <row r="864" spans="1:1" x14ac:dyDescent="0.25">
      <c r="A864" s="452" t="str">
        <f>Translations!$B$588</f>
        <v>Tuvalu</v>
      </c>
    </row>
    <row r="865" spans="1:1" x14ac:dyDescent="0.25">
      <c r="A865" s="452" t="str">
        <f>Translations!$B$589</f>
        <v>Uganda</v>
      </c>
    </row>
    <row r="866" spans="1:1" x14ac:dyDescent="0.25">
      <c r="A866" s="452" t="str">
        <f>Translations!$B$590</f>
        <v>Ukraine</v>
      </c>
    </row>
    <row r="867" spans="1:1" x14ac:dyDescent="0.25">
      <c r="A867" s="452" t="str">
        <f>Translations!$B$591</f>
        <v>United Arab Emirates</v>
      </c>
    </row>
    <row r="868" spans="1:1" x14ac:dyDescent="0.25">
      <c r="A868" s="452" t="str">
        <f>Translations!$B$399</f>
        <v>United Kingdom</v>
      </c>
    </row>
    <row r="869" spans="1:1" x14ac:dyDescent="0.25">
      <c r="A869" s="452" t="str">
        <f>Translations!$B$1241</f>
        <v>United Republic of Tanzania</v>
      </c>
    </row>
    <row r="870" spans="1:1" x14ac:dyDescent="0.25">
      <c r="A870" s="452" t="str">
        <f>Translations!$B$593</f>
        <v>United States</v>
      </c>
    </row>
    <row r="871" spans="1:1" x14ac:dyDescent="0.25">
      <c r="A871" s="452" t="str">
        <f>Translations!$B$595</f>
        <v>Uruguay</v>
      </c>
    </row>
    <row r="872" spans="1:1" x14ac:dyDescent="0.25">
      <c r="A872" s="452" t="str">
        <f>Translations!$B$596</f>
        <v>Uzbekistan</v>
      </c>
    </row>
    <row r="873" spans="1:1" x14ac:dyDescent="0.25">
      <c r="A873" s="452" t="str">
        <f>Translations!$B$597</f>
        <v>Vanuatu</v>
      </c>
    </row>
    <row r="874" spans="1:1" x14ac:dyDescent="0.25">
      <c r="A874" s="452" t="str">
        <f>Translations!$B$1242</f>
        <v>Venezuela (Bolivarian Republic of)</v>
      </c>
    </row>
    <row r="875" spans="1:1" x14ac:dyDescent="0.25">
      <c r="A875" s="452" t="str">
        <f>Translations!$B$599</f>
        <v>Viet Nam</v>
      </c>
    </row>
    <row r="876" spans="1:1" x14ac:dyDescent="0.25">
      <c r="A876" s="452" t="str">
        <f>Translations!$B$602</f>
        <v>Yemen</v>
      </c>
    </row>
    <row r="877" spans="1:1" x14ac:dyDescent="0.25">
      <c r="A877" s="452" t="str">
        <f>Translations!$B$603</f>
        <v>Zambia</v>
      </c>
    </row>
    <row r="878" spans="1:1" x14ac:dyDescent="0.25">
      <c r="A878" s="452" t="str">
        <f>Translations!$B$604</f>
        <v>Zimbabwe</v>
      </c>
    </row>
    <row r="882" spans="1:1" x14ac:dyDescent="0.25">
      <c r="A882" s="21" t="s">
        <v>331</v>
      </c>
    </row>
    <row r="883" spans="1:1" x14ac:dyDescent="0.25">
      <c r="A883" s="22" t="str">
        <f>Translations!$B$368</f>
        <v>Please select</v>
      </c>
    </row>
    <row r="884" spans="1:1" x14ac:dyDescent="0.25">
      <c r="A884" s="22" t="str">
        <f>Translations!$B$369</f>
        <v>Austria</v>
      </c>
    </row>
    <row r="885" spans="1:1" x14ac:dyDescent="0.25">
      <c r="A885" s="22" t="str">
        <f>Translations!$B$370</f>
        <v>Belgium</v>
      </c>
    </row>
    <row r="886" spans="1:1" x14ac:dyDescent="0.25">
      <c r="A886" s="22" t="str">
        <f>Translations!$B$371</f>
        <v>Bulgaria</v>
      </c>
    </row>
    <row r="887" spans="1:1" x14ac:dyDescent="0.25">
      <c r="A887" s="22" t="str">
        <f>Translations!$B$372</f>
        <v>Croatia</v>
      </c>
    </row>
    <row r="888" spans="1:1" x14ac:dyDescent="0.25">
      <c r="A888" s="22" t="str">
        <f>Translations!$B$373</f>
        <v>Cyprus</v>
      </c>
    </row>
    <row r="889" spans="1:1" x14ac:dyDescent="0.25">
      <c r="A889" s="22" t="str">
        <f>Translations!$B$374</f>
        <v>Czechia</v>
      </c>
    </row>
    <row r="890" spans="1:1" x14ac:dyDescent="0.25">
      <c r="A890" s="22" t="str">
        <f>Translations!$B$375</f>
        <v>Denmark</v>
      </c>
    </row>
    <row r="891" spans="1:1" x14ac:dyDescent="0.25">
      <c r="A891" s="22" t="str">
        <f>Translations!$B$376</f>
        <v>Estonia</v>
      </c>
    </row>
    <row r="892" spans="1:1" x14ac:dyDescent="0.25">
      <c r="A892" s="22" t="str">
        <f>Translations!$B$377</f>
        <v>Finland</v>
      </c>
    </row>
    <row r="893" spans="1:1" x14ac:dyDescent="0.25">
      <c r="A893" s="22" t="str">
        <f>Translations!$B$378</f>
        <v>France</v>
      </c>
    </row>
    <row r="894" spans="1:1" x14ac:dyDescent="0.25">
      <c r="A894" s="22" t="str">
        <f>Translations!$B$379</f>
        <v>Germany</v>
      </c>
    </row>
    <row r="895" spans="1:1" x14ac:dyDescent="0.25">
      <c r="A895" s="22" t="str">
        <f>Translations!$B$380</f>
        <v>Greece</v>
      </c>
    </row>
    <row r="896" spans="1:1" x14ac:dyDescent="0.25">
      <c r="A896" s="22" t="str">
        <f>Translations!$B$381</f>
        <v>Hungary</v>
      </c>
    </row>
    <row r="897" spans="1:1" x14ac:dyDescent="0.25">
      <c r="A897" s="23" t="str">
        <f>Translations!$B$382</f>
        <v>Iceland</v>
      </c>
    </row>
    <row r="898" spans="1:1" x14ac:dyDescent="0.25">
      <c r="A898" s="22" t="str">
        <f>Translations!$B$383</f>
        <v>Ireland</v>
      </c>
    </row>
    <row r="899" spans="1:1" x14ac:dyDescent="0.25">
      <c r="A899" s="22" t="str">
        <f>Translations!$B$384</f>
        <v>Italy</v>
      </c>
    </row>
    <row r="900" spans="1:1" x14ac:dyDescent="0.25">
      <c r="A900" s="22" t="str">
        <f>Translations!$B$385</f>
        <v>Latvia</v>
      </c>
    </row>
    <row r="901" spans="1:1" x14ac:dyDescent="0.25">
      <c r="A901" s="22" t="str">
        <f>Translations!$B$386</f>
        <v>Liechtenstein</v>
      </c>
    </row>
    <row r="902" spans="1:1" x14ac:dyDescent="0.25">
      <c r="A902" s="22" t="str">
        <f>Translations!$B$387</f>
        <v>Lithuania</v>
      </c>
    </row>
    <row r="903" spans="1:1" x14ac:dyDescent="0.25">
      <c r="A903" s="22" t="str">
        <f>Translations!$B$388</f>
        <v>Luxembourg</v>
      </c>
    </row>
    <row r="904" spans="1:1" x14ac:dyDescent="0.25">
      <c r="A904" s="22" t="str">
        <f>Translations!$B$389</f>
        <v>Malta</v>
      </c>
    </row>
    <row r="905" spans="1:1" x14ac:dyDescent="0.25">
      <c r="A905" s="22" t="str">
        <f>Translations!$B$390</f>
        <v>Netherlands</v>
      </c>
    </row>
    <row r="906" spans="1:1" x14ac:dyDescent="0.25">
      <c r="A906" s="23" t="str">
        <f>Translations!$B$391</f>
        <v>Norway</v>
      </c>
    </row>
    <row r="907" spans="1:1" x14ac:dyDescent="0.25">
      <c r="A907" s="22" t="str">
        <f>Translations!$B$392</f>
        <v>Poland</v>
      </c>
    </row>
    <row r="908" spans="1:1" x14ac:dyDescent="0.25">
      <c r="A908" s="22" t="str">
        <f>Translations!$B$393</f>
        <v>Portugal</v>
      </c>
    </row>
    <row r="909" spans="1:1" x14ac:dyDescent="0.25">
      <c r="A909" s="22" t="str">
        <f>Translations!$B$394</f>
        <v>Romania</v>
      </c>
    </row>
    <row r="910" spans="1:1" x14ac:dyDescent="0.25">
      <c r="A910" s="22" t="str">
        <f>Translations!$B$395</f>
        <v>Slovakia</v>
      </c>
    </row>
    <row r="911" spans="1:1" x14ac:dyDescent="0.25">
      <c r="A911" s="22" t="str">
        <f>Translations!$B$396</f>
        <v>Slovenia</v>
      </c>
    </row>
    <row r="912" spans="1:1" x14ac:dyDescent="0.25">
      <c r="A912" s="22" t="str">
        <f>Translations!$B$397</f>
        <v>Spain</v>
      </c>
    </row>
    <row r="913" spans="1:8" x14ac:dyDescent="0.25">
      <c r="A913" s="22" t="str">
        <f>Translations!$B$398</f>
        <v>Sweden</v>
      </c>
    </row>
    <row r="914" spans="1:8" x14ac:dyDescent="0.25">
      <c r="A914" s="23" t="str">
        <f>Translations!$B$574</f>
        <v>Switzerland</v>
      </c>
    </row>
    <row r="915" spans="1:8" x14ac:dyDescent="0.25">
      <c r="A915" s="23" t="str">
        <f>Translations!$B$399</f>
        <v>United Kingdom</v>
      </c>
    </row>
    <row r="917" spans="1:8" x14ac:dyDescent="0.25">
      <c r="A917" s="21" t="s">
        <v>332</v>
      </c>
    </row>
    <row r="918" spans="1:8" x14ac:dyDescent="0.25">
      <c r="A918" s="23" t="s">
        <v>94</v>
      </c>
    </row>
    <row r="919" spans="1:8" x14ac:dyDescent="0.25">
      <c r="A919" s="23" t="s">
        <v>157</v>
      </c>
    </row>
    <row r="920" spans="1:8" x14ac:dyDescent="0.25">
      <c r="A920" s="23" t="s">
        <v>124</v>
      </c>
    </row>
    <row r="921" spans="1:8" x14ac:dyDescent="0.25">
      <c r="A921" s="23" t="s">
        <v>333</v>
      </c>
    </row>
    <row r="923" spans="1:8" x14ac:dyDescent="0.25">
      <c r="A923" s="21" t="s">
        <v>334</v>
      </c>
      <c r="B923" s="21" t="s">
        <v>335</v>
      </c>
      <c r="C923" s="21" t="s">
        <v>336</v>
      </c>
      <c r="D923" s="21" t="s">
        <v>337</v>
      </c>
      <c r="E923" s="21" t="s">
        <v>338</v>
      </c>
      <c r="F923" s="21" t="s">
        <v>339</v>
      </c>
      <c r="G923" s="21" t="s">
        <v>340</v>
      </c>
      <c r="H923" s="21" t="s">
        <v>341</v>
      </c>
    </row>
    <row r="924" spans="1:8" x14ac:dyDescent="0.25">
      <c r="A924" s="23" t="s">
        <v>90</v>
      </c>
      <c r="B924" s="23" t="s">
        <v>91</v>
      </c>
      <c r="C924" s="23" t="b">
        <v>1</v>
      </c>
      <c r="D924" s="332" t="b">
        <v>1</v>
      </c>
      <c r="E924" s="638">
        <v>0.7</v>
      </c>
      <c r="F924" s="332" t="b">
        <v>1</v>
      </c>
      <c r="G924" s="332" t="b">
        <v>0</v>
      </c>
      <c r="H924" s="332" t="b">
        <v>0</v>
      </c>
    </row>
    <row r="925" spans="1:8" x14ac:dyDescent="0.25">
      <c r="A925" s="23" t="s">
        <v>93</v>
      </c>
      <c r="B925" s="23" t="s">
        <v>94</v>
      </c>
      <c r="C925" s="23" t="b">
        <v>1</v>
      </c>
      <c r="D925" s="332" t="b">
        <v>1</v>
      </c>
      <c r="E925" s="638">
        <v>0.5</v>
      </c>
      <c r="F925" s="332" t="b">
        <v>1</v>
      </c>
      <c r="G925" s="332" t="b">
        <v>0</v>
      </c>
      <c r="H925" s="332" t="b">
        <v>0</v>
      </c>
    </row>
    <row r="926" spans="1:8" x14ac:dyDescent="0.25">
      <c r="A926" s="23" t="s">
        <v>96</v>
      </c>
      <c r="B926" s="23" t="s">
        <v>97</v>
      </c>
      <c r="C926" s="23" t="b">
        <v>1</v>
      </c>
      <c r="D926" s="332" t="b">
        <v>1</v>
      </c>
      <c r="E926" s="638">
        <v>0.5</v>
      </c>
      <c r="F926" s="332" t="b">
        <v>1</v>
      </c>
      <c r="G926" s="332" t="b">
        <v>0</v>
      </c>
      <c r="H926" s="332" t="b">
        <v>0</v>
      </c>
    </row>
    <row r="927" spans="1:8" x14ac:dyDescent="0.25">
      <c r="A927" s="23" t="s">
        <v>99</v>
      </c>
      <c r="B927" s="23" t="s">
        <v>100</v>
      </c>
      <c r="C927" s="23" t="b">
        <v>1</v>
      </c>
      <c r="D927" s="332" t="b">
        <v>1</v>
      </c>
      <c r="E927" s="638">
        <v>0.7</v>
      </c>
      <c r="F927" s="332" t="b">
        <v>1</v>
      </c>
      <c r="G927" s="332" t="b">
        <v>0</v>
      </c>
      <c r="H927" s="332" t="b">
        <v>0</v>
      </c>
    </row>
    <row r="928" spans="1:8" x14ac:dyDescent="0.25">
      <c r="A928" s="23" t="s">
        <v>102</v>
      </c>
      <c r="B928" s="23" t="s">
        <v>103</v>
      </c>
      <c r="C928" s="23" t="b">
        <v>1</v>
      </c>
      <c r="D928" s="332" t="b">
        <v>1</v>
      </c>
      <c r="E928" s="638">
        <v>0.5</v>
      </c>
      <c r="F928" s="332" t="b">
        <v>1</v>
      </c>
      <c r="G928" s="332" t="b">
        <v>0</v>
      </c>
      <c r="H928" s="332" t="b">
        <v>0</v>
      </c>
    </row>
    <row r="929" spans="1:8" x14ac:dyDescent="0.25">
      <c r="A929" s="23" t="s">
        <v>105</v>
      </c>
      <c r="B929" s="23" t="s">
        <v>106</v>
      </c>
      <c r="C929" s="23" t="b">
        <v>1</v>
      </c>
      <c r="D929" s="332" t="b">
        <v>0</v>
      </c>
      <c r="E929" s="638" t="str">
        <f>Euconst_NA</f>
        <v>n.a.</v>
      </c>
      <c r="F929" s="332" t="b">
        <v>1</v>
      </c>
      <c r="G929" s="332" t="b">
        <v>0</v>
      </c>
      <c r="H929" s="332" t="b">
        <v>0</v>
      </c>
    </row>
    <row r="930" spans="1:8" x14ac:dyDescent="0.25">
      <c r="A930" s="23" t="s">
        <v>108</v>
      </c>
      <c r="B930" s="23" t="s">
        <v>109</v>
      </c>
      <c r="C930" s="332" t="b">
        <v>0</v>
      </c>
      <c r="D930" s="332" t="b">
        <v>0</v>
      </c>
      <c r="E930" s="638" t="str">
        <f>Euconst_NA</f>
        <v>n.a.</v>
      </c>
      <c r="F930" s="332" t="b">
        <v>1</v>
      </c>
      <c r="G930" s="332" t="b">
        <v>0</v>
      </c>
      <c r="H930" s="332" t="b">
        <v>0</v>
      </c>
    </row>
    <row r="931" spans="1:8" x14ac:dyDescent="0.25">
      <c r="A931" s="23" t="s">
        <v>111</v>
      </c>
      <c r="B931" s="23" t="s">
        <v>111</v>
      </c>
      <c r="C931" s="23" t="b">
        <v>1</v>
      </c>
      <c r="D931" s="332" t="b">
        <v>1</v>
      </c>
      <c r="E931" s="638">
        <v>0.95</v>
      </c>
      <c r="F931" s="332" t="b">
        <v>0</v>
      </c>
      <c r="G931" s="332" t="b">
        <v>1</v>
      </c>
      <c r="H931" s="332" t="b">
        <v>0</v>
      </c>
    </row>
    <row r="932" spans="1:8" x14ac:dyDescent="0.25">
      <c r="A932" s="23" t="s">
        <v>113</v>
      </c>
      <c r="B932" s="23" t="s">
        <v>113</v>
      </c>
      <c r="C932" s="23" t="b">
        <v>1</v>
      </c>
      <c r="D932" s="332" t="b">
        <v>0</v>
      </c>
      <c r="E932" s="638" t="str">
        <f>Euconst_NA</f>
        <v>n.a.</v>
      </c>
      <c r="F932" s="332" t="b">
        <v>0</v>
      </c>
      <c r="G932" s="332" t="b">
        <v>1</v>
      </c>
      <c r="H932" s="332" t="b">
        <v>0</v>
      </c>
    </row>
    <row r="933" spans="1:8" x14ac:dyDescent="0.25">
      <c r="A933" s="23" t="s">
        <v>342</v>
      </c>
      <c r="B933" s="23" t="s">
        <v>116</v>
      </c>
      <c r="C933" s="332" t="b">
        <v>0</v>
      </c>
      <c r="D933" s="332" t="b">
        <v>0</v>
      </c>
      <c r="E933" s="638" t="str">
        <f>Euconst_NA</f>
        <v>n.a.</v>
      </c>
      <c r="F933" s="332" t="b">
        <v>0</v>
      </c>
      <c r="G933" s="332" t="b">
        <v>1</v>
      </c>
      <c r="H933" s="332" t="b">
        <v>0</v>
      </c>
    </row>
    <row r="934" spans="1:8" x14ac:dyDescent="0.25">
      <c r="A934" s="23" t="s">
        <v>343</v>
      </c>
      <c r="B934" s="23" t="s">
        <v>119</v>
      </c>
      <c r="C934" s="332" t="b">
        <v>0</v>
      </c>
      <c r="D934" s="332" t="b">
        <v>0</v>
      </c>
      <c r="E934" s="638" t="str">
        <f>Euconst_NA</f>
        <v>n.a.</v>
      </c>
      <c r="F934" s="332" t="b">
        <v>0</v>
      </c>
      <c r="G934" s="332" t="b">
        <v>1</v>
      </c>
      <c r="H934" s="332" t="b">
        <v>0</v>
      </c>
    </row>
    <row r="935" spans="1:8" x14ac:dyDescent="0.25">
      <c r="A935" s="23" t="s">
        <v>121</v>
      </c>
      <c r="B935" s="23" t="s">
        <v>122</v>
      </c>
      <c r="C935" s="23" t="b">
        <v>1</v>
      </c>
      <c r="D935" s="332" t="b">
        <v>1</v>
      </c>
      <c r="E935" s="638">
        <v>0.5</v>
      </c>
      <c r="F935" s="332" t="b">
        <v>0</v>
      </c>
      <c r="G935" s="332" t="b">
        <v>0</v>
      </c>
      <c r="H935" s="332" t="b">
        <v>1</v>
      </c>
    </row>
    <row r="936" spans="1:8" x14ac:dyDescent="0.25">
      <c r="A936" s="23" t="s">
        <v>124</v>
      </c>
      <c r="B936" s="23" t="s">
        <v>124</v>
      </c>
      <c r="C936" s="23" t="b">
        <v>1</v>
      </c>
      <c r="D936" s="332" t="b">
        <v>0</v>
      </c>
      <c r="E936" s="638" t="str">
        <f>Euconst_NA</f>
        <v>n.a.</v>
      </c>
      <c r="F936" s="332" t="b">
        <v>0</v>
      </c>
      <c r="G936" s="332" t="b">
        <v>0</v>
      </c>
      <c r="H936" s="332" t="b">
        <v>1</v>
      </c>
    </row>
    <row r="937" spans="1:8" x14ac:dyDescent="0.25">
      <c r="A937" s="23" t="s">
        <v>125</v>
      </c>
      <c r="B937" s="23" t="s">
        <v>126</v>
      </c>
      <c r="C937" s="332" t="b">
        <v>0</v>
      </c>
      <c r="D937" s="332" t="b">
        <v>0</v>
      </c>
      <c r="E937" s="638" t="str">
        <f>Euconst_NA</f>
        <v>n.a.</v>
      </c>
      <c r="F937" s="332" t="b">
        <v>0</v>
      </c>
      <c r="G937" s="332" t="b">
        <v>0</v>
      </c>
      <c r="H937" s="332" t="b">
        <v>1</v>
      </c>
    </row>
    <row r="938" spans="1:8" x14ac:dyDescent="0.25">
      <c r="A938" s="23" t="s">
        <v>344</v>
      </c>
      <c r="B938" s="23" t="s">
        <v>127</v>
      </c>
      <c r="C938" s="332" t="b">
        <v>0</v>
      </c>
      <c r="D938" s="332" t="b">
        <v>0</v>
      </c>
      <c r="E938" s="638" t="str">
        <f>Euconst_NA</f>
        <v>n.a.</v>
      </c>
      <c r="F938" s="332" t="b">
        <v>0</v>
      </c>
      <c r="G938" s="332" t="b">
        <v>0</v>
      </c>
      <c r="H938" s="332" t="b">
        <v>0</v>
      </c>
    </row>
    <row r="939" spans="1:8" x14ac:dyDescent="0.25">
      <c r="A939" s="23" t="s">
        <v>129</v>
      </c>
      <c r="B939" s="23" t="s">
        <v>130</v>
      </c>
      <c r="C939" s="332" t="b">
        <v>0</v>
      </c>
      <c r="D939" s="332" t="s">
        <v>345</v>
      </c>
      <c r="E939" s="332" t="s">
        <v>345</v>
      </c>
      <c r="F939" s="332" t="s">
        <v>345</v>
      </c>
      <c r="G939" s="332" t="s">
        <v>345</v>
      </c>
      <c r="H939" s="332" t="s">
        <v>345</v>
      </c>
    </row>
    <row r="941" spans="1:8" x14ac:dyDescent="0.25">
      <c r="A941" s="21" t="s">
        <v>346</v>
      </c>
      <c r="B941" s="21" t="s">
        <v>347</v>
      </c>
      <c r="C941" s="21" t="s">
        <v>348</v>
      </c>
      <c r="D941" s="21" t="s">
        <v>349</v>
      </c>
      <c r="E941" s="21" t="s">
        <v>349</v>
      </c>
    </row>
    <row r="942" spans="1:8" x14ac:dyDescent="0.25">
      <c r="A942" s="10" t="s">
        <v>94</v>
      </c>
      <c r="B942" t="s">
        <v>157</v>
      </c>
      <c r="C942" t="s">
        <v>124</v>
      </c>
      <c r="D942" t="s">
        <v>333</v>
      </c>
      <c r="E942" t="s">
        <v>333</v>
      </c>
    </row>
    <row r="943" spans="1:8" x14ac:dyDescent="0.25">
      <c r="A943" s="21" t="str">
        <f ca="1">CONCATENATE(ADDRESS(ROW(A944),COLUMN(),,,$E$1),":",ADDRESS(MATCH("END",A944:A951,0)+ROW(A944)-2,COLUMN()))</f>
        <v>EUwideConstants!$A$944:$A$950</v>
      </c>
      <c r="B943" s="21" t="str">
        <f t="shared" ref="B943:D943" ca="1" si="0">CONCATENATE(ADDRESS(ROW(B944),COLUMN(),,,$E$1),":",ADDRESS(MATCH("END",B944:B951,0)+ROW(B944)-2,COLUMN()))</f>
        <v>EUwideConstants!$B$944:$B$947</v>
      </c>
      <c r="C943" s="21" t="str">
        <f t="shared" ca="1" si="0"/>
        <v>EUwideConstants!$C$944:$C$946</v>
      </c>
      <c r="D943" s="21" t="str">
        <f t="shared" ca="1" si="0"/>
        <v>EUwideConstants!$D$944:$D$944</v>
      </c>
      <c r="E943" s="21" t="str">
        <f t="shared" ref="E943" ca="1" si="1">CONCATENATE(ADDRESS(ROW(E944),COLUMN(),,,$E$1),":",ADDRESS(MATCH("END",E944:E951,0)+ROW(E944)-2,COLUMN()))</f>
        <v>EUwideConstants!$E$944:$E$944</v>
      </c>
    </row>
    <row r="944" spans="1:8" x14ac:dyDescent="0.25">
      <c r="A944" s="590" t="str">
        <f>B924</f>
        <v>Adv. Biofuel</v>
      </c>
      <c r="B944" s="590" t="str">
        <f>B931</f>
        <v>RFNBO</v>
      </c>
      <c r="C944" s="590" t="str">
        <f>B935</f>
        <v>non-foss SLCF</v>
      </c>
      <c r="D944" s="590" t="str">
        <f>B938</f>
        <v>Other</v>
      </c>
      <c r="E944" s="590" t="str">
        <f>B939</f>
        <v>Other (manual)</v>
      </c>
    </row>
    <row r="945" spans="1:5" x14ac:dyDescent="0.25">
      <c r="A945" s="590" t="str">
        <f t="shared" ref="A945:A950" si="2">B925</f>
        <v>Biofuel</v>
      </c>
      <c r="B945" s="590" t="str">
        <f t="shared" ref="B945:B947" si="3">B932</f>
        <v>RCF</v>
      </c>
      <c r="C945" s="590" t="str">
        <f t="shared" ref="C945:C946" si="4">B936</f>
        <v>SLCF</v>
      </c>
      <c r="D945" s="590" t="s">
        <v>350</v>
      </c>
      <c r="E945" s="590" t="s">
        <v>350</v>
      </c>
    </row>
    <row r="946" spans="1:5" x14ac:dyDescent="0.25">
      <c r="A946" s="590" t="str">
        <f t="shared" si="2"/>
        <v>Other Biofuel</v>
      </c>
      <c r="B946" s="590" t="str">
        <f t="shared" si="3"/>
        <v>Non-zero RFNBO</v>
      </c>
      <c r="C946" s="590" t="str">
        <f t="shared" si="4"/>
        <v>Non-zero SLCF</v>
      </c>
      <c r="D946" s="591"/>
      <c r="E946" s="591"/>
    </row>
    <row r="947" spans="1:5" x14ac:dyDescent="0.25">
      <c r="A947" s="590" t="str">
        <f t="shared" si="2"/>
        <v>Co-prod. Adv. Biofuel</v>
      </c>
      <c r="B947" s="590" t="str">
        <f t="shared" si="3"/>
        <v>Non-zero RCF</v>
      </c>
      <c r="C947" s="590" t="s">
        <v>350</v>
      </c>
      <c r="D947" s="591"/>
      <c r="E947" s="591"/>
    </row>
    <row r="948" spans="1:5" x14ac:dyDescent="0.25">
      <c r="A948" s="590" t="str">
        <f t="shared" si="2"/>
        <v>Co-prod. Biofuel</v>
      </c>
      <c r="B948" s="590" t="s">
        <v>350</v>
      </c>
      <c r="C948" s="591"/>
      <c r="D948" s="591"/>
      <c r="E948" s="591"/>
    </row>
    <row r="949" spans="1:5" x14ac:dyDescent="0.25">
      <c r="A949" s="590" t="str">
        <f t="shared" si="2"/>
        <v>Non-El. Biofuel</v>
      </c>
      <c r="B949" s="591"/>
      <c r="C949" s="591"/>
      <c r="D949" s="591"/>
      <c r="E949" s="591"/>
    </row>
    <row r="950" spans="1:5" x14ac:dyDescent="0.25">
      <c r="A950" s="590" t="str">
        <f t="shared" si="2"/>
        <v>Non-zero Biofuel</v>
      </c>
      <c r="B950" s="591"/>
      <c r="C950" s="591"/>
      <c r="D950" s="591"/>
      <c r="E950" s="591"/>
    </row>
    <row r="951" spans="1:5" x14ac:dyDescent="0.25">
      <c r="A951" s="590" t="s">
        <v>350</v>
      </c>
      <c r="B951" s="591"/>
      <c r="C951" s="591"/>
      <c r="D951" s="591"/>
      <c r="E951" s="591"/>
    </row>
    <row r="954" spans="1:5" x14ac:dyDescent="0.25">
      <c r="A954" s="21" t="s">
        <v>351</v>
      </c>
      <c r="B954" s="21" t="s">
        <v>352</v>
      </c>
      <c r="C954" s="21" t="s">
        <v>353</v>
      </c>
    </row>
    <row r="955" spans="1:5" x14ac:dyDescent="0.25">
      <c r="A955" s="332" t="str">
        <f>Translations!$B$1151</f>
        <v>Jet-A</v>
      </c>
      <c r="B955" s="54">
        <v>3.16</v>
      </c>
      <c r="C955" s="54">
        <v>44.1</v>
      </c>
    </row>
    <row r="956" spans="1:5" x14ac:dyDescent="0.25">
      <c r="A956" s="332" t="str">
        <f>Translations!$B$1152</f>
        <v>Jet-A1</v>
      </c>
      <c r="B956" s="54">
        <v>3.16</v>
      </c>
      <c r="C956" s="54">
        <v>44.1</v>
      </c>
    </row>
    <row r="957" spans="1:5" x14ac:dyDescent="0.25">
      <c r="A957" s="332" t="str">
        <f>Translations!$B$1153</f>
        <v>Jet-B</v>
      </c>
      <c r="B957" s="54">
        <v>3.1</v>
      </c>
      <c r="C957" s="54">
        <v>44.3</v>
      </c>
    </row>
    <row r="958" spans="1:5" x14ac:dyDescent="0.25">
      <c r="A958" s="332" t="str">
        <f>Translations!$B$1154</f>
        <v>AvGas</v>
      </c>
      <c r="B958" s="54">
        <v>3.1</v>
      </c>
      <c r="C958" s="54">
        <v>44.3</v>
      </c>
    </row>
    <row r="960" spans="1:5" x14ac:dyDescent="0.25">
      <c r="A960" s="21" t="s">
        <v>354</v>
      </c>
    </row>
    <row r="961" spans="1:1" x14ac:dyDescent="0.25">
      <c r="A961" s="166" t="s">
        <v>355</v>
      </c>
    </row>
    <row r="963" spans="1:1" x14ac:dyDescent="0.25">
      <c r="A963" s="21" t="s">
        <v>356</v>
      </c>
    </row>
    <row r="964" spans="1:1" x14ac:dyDescent="0.25">
      <c r="A964" s="166" t="s">
        <v>357</v>
      </c>
    </row>
    <row r="966" spans="1:1" x14ac:dyDescent="0.25">
      <c r="A966" s="21" t="s">
        <v>358</v>
      </c>
    </row>
    <row r="967" spans="1:1" x14ac:dyDescent="0.25">
      <c r="A967" s="166" t="s">
        <v>359</v>
      </c>
    </row>
    <row r="969" spans="1:1" x14ac:dyDescent="0.25">
      <c r="A969" s="21" t="s">
        <v>360</v>
      </c>
    </row>
    <row r="970" spans="1:1" x14ac:dyDescent="0.25">
      <c r="A970" s="639" t="str">
        <f>Euconst_NA</f>
        <v>n.a.</v>
      </c>
    </row>
    <row r="971" spans="1:1" x14ac:dyDescent="0.25">
      <c r="A971" s="639">
        <v>0.5</v>
      </c>
    </row>
    <row r="972" spans="1:1" x14ac:dyDescent="0.25">
      <c r="A972" s="639">
        <v>0.7</v>
      </c>
    </row>
    <row r="973" spans="1:1" x14ac:dyDescent="0.25">
      <c r="A973" s="639">
        <v>0.95</v>
      </c>
    </row>
    <row r="975" spans="1:1" x14ac:dyDescent="0.25">
      <c r="A975" s="21" t="s">
        <v>361</v>
      </c>
    </row>
    <row r="976" spans="1:1" x14ac:dyDescent="0.25">
      <c r="A976" s="166" t="s">
        <v>1968</v>
      </c>
    </row>
    <row r="977" spans="1:1" x14ac:dyDescent="0.25">
      <c r="A977" s="21" t="s">
        <v>362</v>
      </c>
    </row>
    <row r="978" spans="1:1" x14ac:dyDescent="0.25">
      <c r="A978" s="166" t="s">
        <v>1969</v>
      </c>
    </row>
  </sheetData>
  <sheetProtection sheet="1" objects="1" scenarios="1" formatCells="0" formatColumns="0" formatRows="0" insertColumns="0" insertRows="0"/>
  <mergeCells count="2">
    <mergeCell ref="E1:F1"/>
    <mergeCell ref="C1:D1"/>
  </mergeCells>
  <phoneticPr fontId="12" type="noConversion"/>
  <pageMargins left="0.78740157499999996" right="0.78740157499999996" top="0.984251969" bottom="0.984251969" header="0.5" footer="0.5"/>
  <pageSetup paperSize="9" scale="57" fitToHeight="10" orientation="landscape" r:id="rId1"/>
  <headerFooter alignWithMargins="0">
    <oddHeader>&amp;L&amp;F, &amp;A&amp;R&amp;D, &amp;T</oddHeader>
    <oddFooter>&amp;C&amp;P / &amp;N</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6">
    <tabColor indexed="12"/>
  </sheetPr>
  <dimension ref="A2"/>
  <sheetViews>
    <sheetView workbookViewId="0"/>
  </sheetViews>
  <sheetFormatPr defaultColWidth="11.44140625" defaultRowHeight="13.2" x14ac:dyDescent="0.25"/>
  <sheetData>
    <row r="2" spans="1:1" ht="22.8" x14ac:dyDescent="0.4">
      <c r="A2" s="4" t="s">
        <v>363</v>
      </c>
    </row>
  </sheetData>
  <sheetProtection sheet="1" objects="1" scenarios="1" formatCells="0" formatColumns="0" formatRows="0" insertColumns="0" insertRows="0"/>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7">
    <tabColor rgb="FF0070C0"/>
  </sheetPr>
  <dimension ref="A1:E1400"/>
  <sheetViews>
    <sheetView zoomScale="115" zoomScaleNormal="115" workbookViewId="0">
      <pane xSplit="1" ySplit="1" topLeftCell="B1379" activePane="bottomRight" state="frozen"/>
      <selection pane="topRight" activeCell="B1" sqref="B1"/>
      <selection pane="bottomLeft" activeCell="A2" sqref="A2"/>
      <selection pane="bottomRight" activeCell="B1400" sqref="B1400"/>
    </sheetView>
  </sheetViews>
  <sheetFormatPr defaultColWidth="11.44140625" defaultRowHeight="13.2" x14ac:dyDescent="0.25"/>
  <cols>
    <col min="1" max="1" width="8.44140625" style="125" customWidth="1"/>
    <col min="2" max="2" width="90.5546875" style="70" customWidth="1"/>
    <col min="3" max="3" width="90.5546875" style="476" customWidth="1"/>
    <col min="4" max="16384" width="11.44140625" style="56"/>
  </cols>
  <sheetData>
    <row r="1" spans="1:3" ht="14.4" x14ac:dyDescent="0.3">
      <c r="A1" s="287" t="s">
        <v>364</v>
      </c>
      <c r="B1" s="82" t="s">
        <v>365</v>
      </c>
      <c r="C1" s="455" t="s">
        <v>366</v>
      </c>
    </row>
    <row r="2" spans="1:3" ht="24.6" x14ac:dyDescent="0.25">
      <c r="A2" s="81" t="s">
        <v>367</v>
      </c>
      <c r="B2" s="229" t="s">
        <v>368</v>
      </c>
      <c r="C2" s="456" t="s">
        <v>368</v>
      </c>
    </row>
    <row r="3" spans="1:3" ht="17.399999999999999" x14ac:dyDescent="0.25">
      <c r="A3" s="81">
        <v>2</v>
      </c>
      <c r="B3" s="230" t="s">
        <v>369</v>
      </c>
      <c r="C3" s="457" t="s">
        <v>369</v>
      </c>
    </row>
    <row r="4" spans="1:3" x14ac:dyDescent="0.25">
      <c r="A4" s="81">
        <v>3</v>
      </c>
      <c r="B4" s="231" t="s">
        <v>370</v>
      </c>
      <c r="C4" s="458" t="s">
        <v>370</v>
      </c>
    </row>
    <row r="5" spans="1:3" x14ac:dyDescent="0.25">
      <c r="A5" s="81" t="s">
        <v>367</v>
      </c>
      <c r="B5" s="231" t="s">
        <v>371</v>
      </c>
      <c r="C5" s="458" t="s">
        <v>371</v>
      </c>
    </row>
    <row r="6" spans="1:3" x14ac:dyDescent="0.25">
      <c r="A6" s="81">
        <v>5</v>
      </c>
      <c r="B6" s="231" t="s">
        <v>372</v>
      </c>
      <c r="C6" s="458" t="s">
        <v>372</v>
      </c>
    </row>
    <row r="7" spans="1:3" x14ac:dyDescent="0.25">
      <c r="A7" s="81" t="s">
        <v>367</v>
      </c>
      <c r="B7" s="231" t="s">
        <v>373</v>
      </c>
      <c r="C7" s="458" t="s">
        <v>373</v>
      </c>
    </row>
    <row r="8" spans="1:3" x14ac:dyDescent="0.25">
      <c r="A8" s="81" t="s">
        <v>367</v>
      </c>
      <c r="B8" s="231" t="s">
        <v>374</v>
      </c>
      <c r="C8" s="458" t="s">
        <v>374</v>
      </c>
    </row>
    <row r="9" spans="1:3" x14ac:dyDescent="0.25">
      <c r="A9" s="81" t="s">
        <v>367</v>
      </c>
      <c r="B9" s="231" t="s">
        <v>375</v>
      </c>
      <c r="C9" s="458" t="s">
        <v>375</v>
      </c>
    </row>
    <row r="10" spans="1:3" x14ac:dyDescent="0.25">
      <c r="A10" s="81" t="s">
        <v>367</v>
      </c>
      <c r="B10" s="231" t="s">
        <v>376</v>
      </c>
      <c r="C10" s="458" t="s">
        <v>376</v>
      </c>
    </row>
    <row r="11" spans="1:3" x14ac:dyDescent="0.25">
      <c r="A11" s="81" t="s">
        <v>367</v>
      </c>
      <c r="B11" s="231" t="s">
        <v>377</v>
      </c>
      <c r="C11" s="458" t="s">
        <v>377</v>
      </c>
    </row>
    <row r="12" spans="1:3" x14ac:dyDescent="0.25">
      <c r="A12" s="81" t="s">
        <v>367</v>
      </c>
      <c r="B12" s="231" t="s">
        <v>378</v>
      </c>
      <c r="C12" s="458" t="s">
        <v>378</v>
      </c>
    </row>
    <row r="13" spans="1:3" x14ac:dyDescent="0.25">
      <c r="A13" s="81" t="s">
        <v>367</v>
      </c>
      <c r="B13" s="231" t="s">
        <v>379</v>
      </c>
      <c r="C13" s="458" t="s">
        <v>379</v>
      </c>
    </row>
    <row r="14" spans="1:3" x14ac:dyDescent="0.25">
      <c r="A14" s="81" t="s">
        <v>367</v>
      </c>
      <c r="B14" s="231" t="s">
        <v>380</v>
      </c>
      <c r="C14" s="458" t="s">
        <v>380</v>
      </c>
    </row>
    <row r="15" spans="1:3" x14ac:dyDescent="0.25">
      <c r="A15" s="81" t="s">
        <v>367</v>
      </c>
      <c r="B15" s="231" t="s">
        <v>381</v>
      </c>
      <c r="C15" s="458" t="s">
        <v>381</v>
      </c>
    </row>
    <row r="16" spans="1:3" x14ac:dyDescent="0.25">
      <c r="A16" s="81" t="s">
        <v>367</v>
      </c>
      <c r="B16" s="231" t="s">
        <v>382</v>
      </c>
      <c r="C16" s="458" t="s">
        <v>382</v>
      </c>
    </row>
    <row r="17" spans="1:3" x14ac:dyDescent="0.25">
      <c r="A17" s="81" t="s">
        <v>367</v>
      </c>
      <c r="B17" s="231" t="s">
        <v>383</v>
      </c>
      <c r="C17" s="458" t="s">
        <v>383</v>
      </c>
    </row>
    <row r="18" spans="1:3" x14ac:dyDescent="0.25">
      <c r="A18" s="81" t="s">
        <v>367</v>
      </c>
      <c r="B18" s="231" t="s">
        <v>384</v>
      </c>
      <c r="C18" s="458" t="s">
        <v>384</v>
      </c>
    </row>
    <row r="19" spans="1:3" x14ac:dyDescent="0.25">
      <c r="A19" s="81" t="s">
        <v>367</v>
      </c>
      <c r="B19" s="231" t="s">
        <v>385</v>
      </c>
      <c r="C19" s="458" t="s">
        <v>385</v>
      </c>
    </row>
    <row r="20" spans="1:3" x14ac:dyDescent="0.25">
      <c r="A20" s="81">
        <v>19</v>
      </c>
      <c r="B20" s="231" t="s">
        <v>386</v>
      </c>
      <c r="C20" s="458" t="s">
        <v>386</v>
      </c>
    </row>
    <row r="21" spans="1:3" x14ac:dyDescent="0.25">
      <c r="A21" s="81" t="s">
        <v>367</v>
      </c>
      <c r="B21" s="232" t="s">
        <v>387</v>
      </c>
      <c r="C21" s="459" t="s">
        <v>387</v>
      </c>
    </row>
    <row r="22" spans="1:3" x14ac:dyDescent="0.25">
      <c r="A22" s="81" t="s">
        <v>367</v>
      </c>
      <c r="B22" s="233" t="s">
        <v>388</v>
      </c>
      <c r="C22" s="458" t="s">
        <v>388</v>
      </c>
    </row>
    <row r="23" spans="1:3" x14ac:dyDescent="0.25">
      <c r="A23" s="81">
        <v>22</v>
      </c>
      <c r="B23" s="231" t="s">
        <v>389</v>
      </c>
      <c r="C23" s="458" t="s">
        <v>389</v>
      </c>
    </row>
    <row r="24" spans="1:3" x14ac:dyDescent="0.25">
      <c r="A24" s="81" t="s">
        <v>367</v>
      </c>
      <c r="B24" s="233" t="s">
        <v>390</v>
      </c>
      <c r="C24" s="458" t="s">
        <v>390</v>
      </c>
    </row>
    <row r="25" spans="1:3" ht="27" thickBot="1" x14ac:dyDescent="0.3">
      <c r="A25" s="81">
        <v>24</v>
      </c>
      <c r="B25" s="232" t="s">
        <v>391</v>
      </c>
      <c r="C25" s="459" t="s">
        <v>391</v>
      </c>
    </row>
    <row r="26" spans="1:3" ht="13.8" thickBot="1" x14ac:dyDescent="0.3">
      <c r="A26" s="81">
        <v>25</v>
      </c>
      <c r="B26" s="234" t="s">
        <v>392</v>
      </c>
      <c r="C26" s="458" t="s">
        <v>392</v>
      </c>
    </row>
    <row r="27" spans="1:3" ht="26.4" x14ac:dyDescent="0.25">
      <c r="A27" s="81">
        <v>26</v>
      </c>
      <c r="B27" s="234" t="s">
        <v>393</v>
      </c>
      <c r="C27" s="458" t="s">
        <v>393</v>
      </c>
    </row>
    <row r="28" spans="1:3" ht="13.8" thickBot="1" x14ac:dyDescent="0.3">
      <c r="A28" s="81">
        <v>27</v>
      </c>
      <c r="B28" s="232" t="s">
        <v>394</v>
      </c>
      <c r="C28" s="459" t="s">
        <v>394</v>
      </c>
    </row>
    <row r="29" spans="1:3" ht="13.8" thickBot="1" x14ac:dyDescent="0.3">
      <c r="A29" s="81">
        <v>28</v>
      </c>
      <c r="B29" s="235" t="s">
        <v>395</v>
      </c>
      <c r="C29" s="458" t="s">
        <v>395</v>
      </c>
    </row>
    <row r="30" spans="1:3" ht="13.8" thickBot="1" x14ac:dyDescent="0.3">
      <c r="A30" s="81">
        <v>29</v>
      </c>
      <c r="B30" s="236" t="s">
        <v>396</v>
      </c>
      <c r="C30" s="458" t="s">
        <v>396</v>
      </c>
    </row>
    <row r="31" spans="1:3" ht="13.8" thickBot="1" x14ac:dyDescent="0.3">
      <c r="A31" s="81">
        <v>30</v>
      </c>
      <c r="B31" s="236" t="s">
        <v>397</v>
      </c>
      <c r="C31" s="458" t="s">
        <v>397</v>
      </c>
    </row>
    <row r="32" spans="1:3" ht="13.8" thickBot="1" x14ac:dyDescent="0.3">
      <c r="A32" s="81">
        <v>31</v>
      </c>
      <c r="B32" s="236" t="s">
        <v>398</v>
      </c>
      <c r="C32" s="458" t="s">
        <v>398</v>
      </c>
    </row>
    <row r="33" spans="1:3" ht="17.399999999999999" x14ac:dyDescent="0.25">
      <c r="A33" s="81">
        <v>32</v>
      </c>
      <c r="B33" s="237" t="s">
        <v>399</v>
      </c>
      <c r="C33" s="457" t="s">
        <v>399</v>
      </c>
    </row>
    <row r="34" spans="1:3" ht="52.8" x14ac:dyDescent="0.25">
      <c r="A34" s="81" t="s">
        <v>367</v>
      </c>
      <c r="B34" s="231" t="s">
        <v>400</v>
      </c>
      <c r="C34" s="458" t="s">
        <v>400</v>
      </c>
    </row>
    <row r="35" spans="1:3" x14ac:dyDescent="0.25">
      <c r="A35" s="81" t="s">
        <v>367</v>
      </c>
      <c r="B35" s="233" t="s">
        <v>401</v>
      </c>
      <c r="C35" s="458" t="s">
        <v>401</v>
      </c>
    </row>
    <row r="36" spans="1:3" ht="26.4" x14ac:dyDescent="0.25">
      <c r="A36" s="81" t="s">
        <v>367</v>
      </c>
      <c r="B36" t="s">
        <v>402</v>
      </c>
      <c r="C36" s="460" t="s">
        <v>402</v>
      </c>
    </row>
    <row r="37" spans="1:3" ht="26.4" x14ac:dyDescent="0.25">
      <c r="A37" s="81" t="s">
        <v>367</v>
      </c>
      <c r="B37" s="233" t="s">
        <v>403</v>
      </c>
      <c r="C37" s="458" t="s">
        <v>403</v>
      </c>
    </row>
    <row r="38" spans="1:3" ht="26.4" x14ac:dyDescent="0.25">
      <c r="A38" s="81" t="s">
        <v>367</v>
      </c>
      <c r="B38" t="s">
        <v>404</v>
      </c>
      <c r="C38" s="460" t="s">
        <v>404</v>
      </c>
    </row>
    <row r="39" spans="1:3" ht="26.4" x14ac:dyDescent="0.25">
      <c r="A39" s="81" t="s">
        <v>367</v>
      </c>
      <c r="B39" s="233" t="s">
        <v>405</v>
      </c>
      <c r="C39" s="458" t="s">
        <v>405</v>
      </c>
    </row>
    <row r="40" spans="1:3" ht="39.6" x14ac:dyDescent="0.25">
      <c r="A40" s="81" t="s">
        <v>367</v>
      </c>
      <c r="B40" s="238" t="s">
        <v>406</v>
      </c>
      <c r="C40" s="461" t="s">
        <v>406</v>
      </c>
    </row>
    <row r="41" spans="1:3" x14ac:dyDescent="0.25">
      <c r="A41" s="81">
        <v>40</v>
      </c>
      <c r="B41" s="233" t="s">
        <v>407</v>
      </c>
      <c r="C41" s="458" t="s">
        <v>407</v>
      </c>
    </row>
    <row r="42" spans="1:3" ht="79.2" x14ac:dyDescent="0.25">
      <c r="A42" s="81">
        <v>41</v>
      </c>
      <c r="B42" s="238" t="s">
        <v>408</v>
      </c>
      <c r="C42" s="461" t="s">
        <v>408</v>
      </c>
    </row>
    <row r="43" spans="1:3" ht="66" x14ac:dyDescent="0.25">
      <c r="A43" s="81" t="s">
        <v>367</v>
      </c>
      <c r="B43" s="233" t="s">
        <v>409</v>
      </c>
      <c r="C43" s="458" t="s">
        <v>409</v>
      </c>
    </row>
    <row r="44" spans="1:3" x14ac:dyDescent="0.25">
      <c r="A44" s="81">
        <v>43</v>
      </c>
      <c r="B44" s="233" t="s">
        <v>410</v>
      </c>
      <c r="C44" s="458" t="s">
        <v>410</v>
      </c>
    </row>
    <row r="45" spans="1:3" x14ac:dyDescent="0.25">
      <c r="A45" s="81" t="s">
        <v>367</v>
      </c>
      <c r="B45" s="231" t="s">
        <v>411</v>
      </c>
      <c r="C45" s="458" t="s">
        <v>411</v>
      </c>
    </row>
    <row r="46" spans="1:3" ht="52.8" x14ac:dyDescent="0.25">
      <c r="A46" s="81" t="s">
        <v>367</v>
      </c>
      <c r="B46" s="231" t="s">
        <v>412</v>
      </c>
      <c r="C46" s="458" t="s">
        <v>412</v>
      </c>
    </row>
    <row r="47" spans="1:3" ht="26.4" x14ac:dyDescent="0.25">
      <c r="A47" s="81" t="s">
        <v>367</v>
      </c>
      <c r="B47" s="232" t="s">
        <v>413</v>
      </c>
      <c r="C47" s="459" t="s">
        <v>413</v>
      </c>
    </row>
    <row r="48" spans="1:3" ht="15.6" x14ac:dyDescent="0.25">
      <c r="A48" s="81">
        <v>47</v>
      </c>
      <c r="B48" s="239" t="s">
        <v>414</v>
      </c>
      <c r="C48" s="462" t="s">
        <v>414</v>
      </c>
    </row>
    <row r="49" spans="1:3" ht="52.8" x14ac:dyDescent="0.25">
      <c r="A49" s="81" t="s">
        <v>367</v>
      </c>
      <c r="B49" s="232" t="s">
        <v>415</v>
      </c>
      <c r="C49" s="459" t="s">
        <v>416</v>
      </c>
    </row>
    <row r="50" spans="1:3" ht="26.4" x14ac:dyDescent="0.25">
      <c r="A50" s="81">
        <v>49</v>
      </c>
      <c r="B50" s="231" t="s">
        <v>417</v>
      </c>
      <c r="C50" s="458" t="s">
        <v>417</v>
      </c>
    </row>
    <row r="51" spans="1:3" ht="26.4" x14ac:dyDescent="0.25">
      <c r="A51" s="81">
        <v>50</v>
      </c>
      <c r="B51" s="231" t="s">
        <v>418</v>
      </c>
      <c r="C51" s="458" t="s">
        <v>418</v>
      </c>
    </row>
    <row r="52" spans="1:3" ht="39.6" x14ac:dyDescent="0.25">
      <c r="A52" s="81">
        <v>51</v>
      </c>
      <c r="B52" s="231" t="s">
        <v>419</v>
      </c>
      <c r="C52" s="458" t="s">
        <v>419</v>
      </c>
    </row>
    <row r="53" spans="1:3" x14ac:dyDescent="0.25">
      <c r="A53" s="81">
        <v>52</v>
      </c>
      <c r="B53" s="233" t="s">
        <v>420</v>
      </c>
      <c r="C53" s="458" t="s">
        <v>420</v>
      </c>
    </row>
    <row r="54" spans="1:3" ht="13.8" thickBot="1" x14ac:dyDescent="0.3">
      <c r="A54" s="81" t="s">
        <v>367</v>
      </c>
      <c r="B54" s="231" t="s">
        <v>421</v>
      </c>
      <c r="C54" s="458" t="s">
        <v>421</v>
      </c>
    </row>
    <row r="55" spans="1:3" x14ac:dyDescent="0.25">
      <c r="A55" s="81">
        <v>54</v>
      </c>
      <c r="B55" s="240" t="s">
        <v>422</v>
      </c>
      <c r="C55" s="458" t="s">
        <v>422</v>
      </c>
    </row>
    <row r="56" spans="1:3" ht="79.2" x14ac:dyDescent="0.25">
      <c r="A56" s="81" t="s">
        <v>367</v>
      </c>
      <c r="B56" s="231" t="s">
        <v>423</v>
      </c>
      <c r="C56" s="458" t="s">
        <v>423</v>
      </c>
    </row>
    <row r="57" spans="1:3" ht="79.2" x14ac:dyDescent="0.25">
      <c r="A57" s="81" t="s">
        <v>367</v>
      </c>
      <c r="B57" s="231" t="s">
        <v>424</v>
      </c>
      <c r="C57" s="458" t="s">
        <v>424</v>
      </c>
    </row>
    <row r="58" spans="1:3" ht="26.4" x14ac:dyDescent="0.25">
      <c r="A58" s="81" t="s">
        <v>367</v>
      </c>
      <c r="B58" s="231" t="s">
        <v>425</v>
      </c>
      <c r="C58" s="458" t="s">
        <v>425</v>
      </c>
    </row>
    <row r="59" spans="1:3" ht="26.4" x14ac:dyDescent="0.25">
      <c r="A59" s="81" t="s">
        <v>367</v>
      </c>
      <c r="B59" s="231" t="s">
        <v>426</v>
      </c>
      <c r="C59" s="458" t="s">
        <v>426</v>
      </c>
    </row>
    <row r="60" spans="1:3" ht="79.2" x14ac:dyDescent="0.25">
      <c r="A60" s="81" t="s">
        <v>367</v>
      </c>
      <c r="B60" s="232" t="s">
        <v>427</v>
      </c>
      <c r="C60" s="459" t="s">
        <v>428</v>
      </c>
    </row>
    <row r="61" spans="1:3" ht="15.6" x14ac:dyDescent="0.25">
      <c r="A61" s="81">
        <v>60</v>
      </c>
      <c r="B61" s="241" t="s">
        <v>429</v>
      </c>
      <c r="C61" s="462" t="s">
        <v>429</v>
      </c>
    </row>
    <row r="62" spans="1:3" x14ac:dyDescent="0.25">
      <c r="A62" s="81">
        <v>61</v>
      </c>
      <c r="B62" s="232" t="s">
        <v>430</v>
      </c>
      <c r="C62" s="459" t="s">
        <v>430</v>
      </c>
    </row>
    <row r="63" spans="1:3" x14ac:dyDescent="0.25">
      <c r="A63" s="81">
        <v>62</v>
      </c>
      <c r="B63" s="233" t="s">
        <v>431</v>
      </c>
      <c r="C63" s="458" t="s">
        <v>431</v>
      </c>
    </row>
    <row r="64" spans="1:3" x14ac:dyDescent="0.25">
      <c r="A64" s="81">
        <v>63</v>
      </c>
      <c r="B64" s="231" t="s">
        <v>432</v>
      </c>
      <c r="C64" s="458" t="s">
        <v>432</v>
      </c>
    </row>
    <row r="65" spans="1:3" x14ac:dyDescent="0.25">
      <c r="A65" s="81">
        <v>64</v>
      </c>
      <c r="B65" s="233" t="s">
        <v>433</v>
      </c>
      <c r="C65" s="458" t="s">
        <v>433</v>
      </c>
    </row>
    <row r="66" spans="1:3" x14ac:dyDescent="0.25">
      <c r="A66" s="81" t="s">
        <v>367</v>
      </c>
      <c r="B66" s="231" t="s">
        <v>434</v>
      </c>
      <c r="C66" s="458" t="s">
        <v>434</v>
      </c>
    </row>
    <row r="67" spans="1:3" x14ac:dyDescent="0.25">
      <c r="A67" s="81">
        <v>66</v>
      </c>
      <c r="B67" s="231" t="s">
        <v>435</v>
      </c>
      <c r="C67" s="458" t="s">
        <v>435</v>
      </c>
    </row>
    <row r="68" spans="1:3" x14ac:dyDescent="0.25">
      <c r="A68" s="81" t="s">
        <v>367</v>
      </c>
      <c r="B68" s="231" t="s">
        <v>436</v>
      </c>
      <c r="C68" s="458" t="s">
        <v>436</v>
      </c>
    </row>
    <row r="69" spans="1:3" x14ac:dyDescent="0.25">
      <c r="A69" s="81">
        <v>68</v>
      </c>
      <c r="B69" s="233" t="s">
        <v>437</v>
      </c>
      <c r="C69" s="458" t="s">
        <v>437</v>
      </c>
    </row>
    <row r="70" spans="1:3" x14ac:dyDescent="0.25">
      <c r="A70" s="81">
        <v>69</v>
      </c>
      <c r="B70" s="232" t="s">
        <v>438</v>
      </c>
      <c r="C70" s="459" t="s">
        <v>438</v>
      </c>
    </row>
    <row r="71" spans="1:3" x14ac:dyDescent="0.25">
      <c r="A71" s="81">
        <v>70</v>
      </c>
      <c r="B71" s="242" t="s">
        <v>439</v>
      </c>
      <c r="C71" s="458" t="s">
        <v>439</v>
      </c>
    </row>
    <row r="72" spans="1:3" x14ac:dyDescent="0.25">
      <c r="A72" s="81">
        <v>71</v>
      </c>
      <c r="B72" s="231" t="s">
        <v>440</v>
      </c>
      <c r="C72" s="458" t="s">
        <v>440</v>
      </c>
    </row>
    <row r="73" spans="1:3" x14ac:dyDescent="0.25">
      <c r="A73" s="81">
        <v>72</v>
      </c>
      <c r="B73" s="242" t="s">
        <v>441</v>
      </c>
      <c r="C73" s="458" t="s">
        <v>441</v>
      </c>
    </row>
    <row r="74" spans="1:3" ht="15.6" x14ac:dyDescent="0.25">
      <c r="A74" s="81">
        <v>73</v>
      </c>
      <c r="B74" s="241" t="s">
        <v>442</v>
      </c>
      <c r="C74" s="462" t="s">
        <v>442</v>
      </c>
    </row>
    <row r="75" spans="1:3" ht="66" x14ac:dyDescent="0.25">
      <c r="A75" s="81" t="s">
        <v>367</v>
      </c>
      <c r="B75" s="231" t="s">
        <v>443</v>
      </c>
      <c r="C75" s="458" t="s">
        <v>443</v>
      </c>
    </row>
    <row r="76" spans="1:3" ht="39.6" x14ac:dyDescent="0.25">
      <c r="A76" s="81">
        <v>75</v>
      </c>
      <c r="B76" s="231" t="s">
        <v>444</v>
      </c>
      <c r="C76" s="458" t="s">
        <v>444</v>
      </c>
    </row>
    <row r="77" spans="1:3" ht="52.8" x14ac:dyDescent="0.25">
      <c r="A77" s="81">
        <v>76</v>
      </c>
      <c r="B77" s="231" t="s">
        <v>445</v>
      </c>
      <c r="C77" s="458" t="s">
        <v>445</v>
      </c>
    </row>
    <row r="78" spans="1:3" x14ac:dyDescent="0.25">
      <c r="A78" s="81">
        <v>77</v>
      </c>
      <c r="B78" s="243" t="s">
        <v>446</v>
      </c>
      <c r="C78" s="463" t="s">
        <v>446</v>
      </c>
    </row>
    <row r="79" spans="1:3" x14ac:dyDescent="0.25">
      <c r="A79" s="81">
        <v>78</v>
      </c>
      <c r="B79" s="244" t="s">
        <v>447</v>
      </c>
      <c r="C79" s="459" t="s">
        <v>447</v>
      </c>
    </row>
    <row r="80" spans="1:3" x14ac:dyDescent="0.25">
      <c r="A80" s="81">
        <v>79</v>
      </c>
      <c r="B80" s="245" t="s">
        <v>448</v>
      </c>
      <c r="C80" s="458" t="s">
        <v>448</v>
      </c>
    </row>
    <row r="81" spans="1:3" ht="13.8" thickBot="1" x14ac:dyDescent="0.3">
      <c r="A81" s="81">
        <v>80</v>
      </c>
      <c r="B81" s="246" t="s">
        <v>449</v>
      </c>
      <c r="C81" s="464" t="s">
        <v>449</v>
      </c>
    </row>
    <row r="82" spans="1:3" ht="26.4" x14ac:dyDescent="0.25">
      <c r="A82" s="81">
        <v>81</v>
      </c>
      <c r="B82" s="245" t="s">
        <v>450</v>
      </c>
      <c r="C82" s="458" t="s">
        <v>450</v>
      </c>
    </row>
    <row r="83" spans="1:3" x14ac:dyDescent="0.25">
      <c r="A83" s="81">
        <v>82</v>
      </c>
      <c r="B83" s="245" t="s">
        <v>451</v>
      </c>
      <c r="C83" s="458" t="s">
        <v>451</v>
      </c>
    </row>
    <row r="84" spans="1:3" x14ac:dyDescent="0.25">
      <c r="A84" s="81">
        <v>83</v>
      </c>
      <c r="B84" s="245" t="s">
        <v>452</v>
      </c>
      <c r="C84" s="458" t="s">
        <v>452</v>
      </c>
    </row>
    <row r="85" spans="1:3" x14ac:dyDescent="0.25">
      <c r="A85" s="81">
        <v>84</v>
      </c>
      <c r="B85" s="245" t="s">
        <v>453</v>
      </c>
      <c r="C85" s="458" t="s">
        <v>453</v>
      </c>
    </row>
    <row r="86" spans="1:3" x14ac:dyDescent="0.25">
      <c r="A86" s="81">
        <v>85</v>
      </c>
      <c r="B86" s="245" t="s">
        <v>454</v>
      </c>
      <c r="C86" s="458" t="s">
        <v>454</v>
      </c>
    </row>
    <row r="87" spans="1:3" ht="15.6" x14ac:dyDescent="0.25">
      <c r="A87" s="81">
        <v>86</v>
      </c>
      <c r="B87" s="241" t="s">
        <v>455</v>
      </c>
      <c r="C87" s="462" t="s">
        <v>455</v>
      </c>
    </row>
    <row r="88" spans="1:3" ht="17.399999999999999" x14ac:dyDescent="0.25">
      <c r="A88" s="81" t="s">
        <v>367</v>
      </c>
      <c r="B88" s="230" t="s">
        <v>456</v>
      </c>
      <c r="C88" s="457" t="s">
        <v>456</v>
      </c>
    </row>
    <row r="89" spans="1:3" ht="15.6" x14ac:dyDescent="0.25">
      <c r="A89" s="81" t="s">
        <v>367</v>
      </c>
      <c r="B89" s="247" t="s">
        <v>457</v>
      </c>
      <c r="C89" s="462" t="s">
        <v>457</v>
      </c>
    </row>
    <row r="90" spans="1:3" ht="20.399999999999999" x14ac:dyDescent="0.25">
      <c r="A90" s="81" t="s">
        <v>367</v>
      </c>
      <c r="B90" s="248" t="s">
        <v>458</v>
      </c>
      <c r="C90" s="465" t="s">
        <v>458</v>
      </c>
    </row>
    <row r="91" spans="1:3" ht="30.6" x14ac:dyDescent="0.25">
      <c r="A91" s="81" t="s">
        <v>367</v>
      </c>
      <c r="B91" s="248" t="s">
        <v>459</v>
      </c>
      <c r="C91" s="465" t="s">
        <v>459</v>
      </c>
    </row>
    <row r="92" spans="1:3" ht="20.399999999999999" x14ac:dyDescent="0.25">
      <c r="A92" s="81" t="s">
        <v>367</v>
      </c>
      <c r="B92" s="248" t="s">
        <v>460</v>
      </c>
      <c r="C92" s="465" t="s">
        <v>460</v>
      </c>
    </row>
    <row r="93" spans="1:3" ht="41.4" thickBot="1" x14ac:dyDescent="0.3">
      <c r="A93" s="81" t="s">
        <v>367</v>
      </c>
      <c r="B93" s="248" t="s">
        <v>461</v>
      </c>
      <c r="C93" s="465" t="s">
        <v>461</v>
      </c>
    </row>
    <row r="94" spans="1:3" ht="13.8" thickBot="1" x14ac:dyDescent="0.3">
      <c r="A94" s="81" t="s">
        <v>367</v>
      </c>
      <c r="B94" s="249" t="s">
        <v>462</v>
      </c>
      <c r="C94" s="466" t="s">
        <v>462</v>
      </c>
    </row>
    <row r="95" spans="1:3" ht="13.8" thickBot="1" x14ac:dyDescent="0.3">
      <c r="A95" s="81" t="s">
        <v>367</v>
      </c>
      <c r="B95" s="250" t="s">
        <v>463</v>
      </c>
      <c r="C95" s="466" t="s">
        <v>463</v>
      </c>
    </row>
    <row r="96" spans="1:3" ht="13.8" thickBot="1" x14ac:dyDescent="0.3">
      <c r="A96" s="81" t="s">
        <v>367</v>
      </c>
      <c r="B96" s="250" t="s">
        <v>464</v>
      </c>
      <c r="C96" s="466" t="s">
        <v>464</v>
      </c>
    </row>
    <row r="97" spans="1:3" ht="21" thickBot="1" x14ac:dyDescent="0.3">
      <c r="A97" s="81" t="s">
        <v>367</v>
      </c>
      <c r="B97" s="250" t="s">
        <v>465</v>
      </c>
      <c r="C97" s="466" t="s">
        <v>465</v>
      </c>
    </row>
    <row r="98" spans="1:3" x14ac:dyDescent="0.25">
      <c r="A98" s="81" t="s">
        <v>367</v>
      </c>
      <c r="B98" s="251" t="s">
        <v>466</v>
      </c>
      <c r="C98" s="467" t="s">
        <v>466</v>
      </c>
    </row>
    <row r="99" spans="1:3" ht="34.799999999999997" x14ac:dyDescent="0.25">
      <c r="A99" s="81" t="s">
        <v>367</v>
      </c>
      <c r="B99" s="230" t="s">
        <v>467</v>
      </c>
      <c r="C99" s="457" t="s">
        <v>467</v>
      </c>
    </row>
    <row r="100" spans="1:3" ht="15.6" x14ac:dyDescent="0.25">
      <c r="A100" s="81" t="s">
        <v>367</v>
      </c>
      <c r="B100" s="247" t="s">
        <v>468</v>
      </c>
      <c r="C100" s="462" t="s">
        <v>468</v>
      </c>
    </row>
    <row r="101" spans="1:3" x14ac:dyDescent="0.25">
      <c r="A101" s="81">
        <v>100</v>
      </c>
      <c r="B101" s="244" t="s">
        <v>469</v>
      </c>
      <c r="C101" s="459" t="s">
        <v>469</v>
      </c>
    </row>
    <row r="102" spans="1:3" ht="14.4" x14ac:dyDescent="0.25">
      <c r="A102" s="81" t="s">
        <v>367</v>
      </c>
      <c r="B102" s="252"/>
      <c r="C102" s="432"/>
    </row>
    <row r="103" spans="1:3" x14ac:dyDescent="0.25">
      <c r="A103" s="81" t="s">
        <v>367</v>
      </c>
      <c r="B103" s="248" t="s">
        <v>470</v>
      </c>
      <c r="C103" s="465" t="s">
        <v>470</v>
      </c>
    </row>
    <row r="104" spans="1:3" x14ac:dyDescent="0.25">
      <c r="A104" s="81">
        <v>103</v>
      </c>
      <c r="B104" s="244" t="s">
        <v>471</v>
      </c>
      <c r="C104" s="459" t="s">
        <v>471</v>
      </c>
    </row>
    <row r="105" spans="1:3" x14ac:dyDescent="0.25">
      <c r="A105" s="81" t="s">
        <v>367</v>
      </c>
      <c r="B105" s="248" t="s">
        <v>472</v>
      </c>
      <c r="C105" s="465" t="s">
        <v>472</v>
      </c>
    </row>
    <row r="106" spans="1:3" x14ac:dyDescent="0.25">
      <c r="A106" s="81" t="s">
        <v>367</v>
      </c>
      <c r="B106" s="244" t="s">
        <v>473</v>
      </c>
      <c r="C106" s="459" t="s">
        <v>473</v>
      </c>
    </row>
    <row r="107" spans="1:3" ht="40.799999999999997" x14ac:dyDescent="0.25">
      <c r="A107" s="81" t="s">
        <v>367</v>
      </c>
      <c r="B107" s="248" t="s">
        <v>474</v>
      </c>
      <c r="C107" s="465" t="s">
        <v>474</v>
      </c>
    </row>
    <row r="108" spans="1:3" x14ac:dyDescent="0.25">
      <c r="A108" s="81" t="s">
        <v>367</v>
      </c>
      <c r="B108" s="244" t="s">
        <v>475</v>
      </c>
      <c r="C108" s="459" t="s">
        <v>475</v>
      </c>
    </row>
    <row r="109" spans="1:3" ht="30.6" x14ac:dyDescent="0.25">
      <c r="A109" s="81" t="s">
        <v>367</v>
      </c>
      <c r="B109" s="253" t="s">
        <v>476</v>
      </c>
      <c r="C109" s="468" t="s">
        <v>477</v>
      </c>
    </row>
    <row r="110" spans="1:3" x14ac:dyDescent="0.25">
      <c r="A110" s="81" t="s">
        <v>367</v>
      </c>
      <c r="B110" s="254" t="s">
        <v>478</v>
      </c>
      <c r="C110" s="469" t="s">
        <v>478</v>
      </c>
    </row>
    <row r="111" spans="1:3" x14ac:dyDescent="0.25">
      <c r="A111" s="81" t="s">
        <v>367</v>
      </c>
      <c r="B111" s="248" t="s">
        <v>479</v>
      </c>
      <c r="C111" s="465" t="s">
        <v>479</v>
      </c>
    </row>
    <row r="112" spans="1:3" x14ac:dyDescent="0.25">
      <c r="A112" s="81" t="s">
        <v>367</v>
      </c>
      <c r="B112" s="231" t="s">
        <v>480</v>
      </c>
      <c r="C112" s="458" t="s">
        <v>480</v>
      </c>
    </row>
    <row r="113" spans="1:3" ht="26.4" x14ac:dyDescent="0.25">
      <c r="A113" s="81">
        <v>112</v>
      </c>
      <c r="B113" s="244" t="s">
        <v>481</v>
      </c>
      <c r="C113" s="459" t="s">
        <v>481</v>
      </c>
    </row>
    <row r="114" spans="1:3" ht="20.399999999999999" x14ac:dyDescent="0.25">
      <c r="A114" s="81" t="s">
        <v>367</v>
      </c>
      <c r="B114" s="248" t="s">
        <v>482</v>
      </c>
      <c r="C114" s="465" t="s">
        <v>482</v>
      </c>
    </row>
    <row r="115" spans="1:3" ht="26.4" x14ac:dyDescent="0.25">
      <c r="A115" s="81">
        <v>114</v>
      </c>
      <c r="B115" s="244" t="s">
        <v>483</v>
      </c>
      <c r="C115" s="459" t="s">
        <v>483</v>
      </c>
    </row>
    <row r="116" spans="1:3" ht="30.6" x14ac:dyDescent="0.25">
      <c r="A116" s="81" t="s">
        <v>367</v>
      </c>
      <c r="B116" s="248" t="s">
        <v>484</v>
      </c>
      <c r="C116" s="465" t="s">
        <v>484</v>
      </c>
    </row>
    <row r="117" spans="1:3" ht="26.4" x14ac:dyDescent="0.25">
      <c r="A117" s="81">
        <v>116</v>
      </c>
      <c r="B117" s="244" t="s">
        <v>485</v>
      </c>
      <c r="C117" s="459" t="s">
        <v>485</v>
      </c>
    </row>
    <row r="118" spans="1:3" ht="14.4" x14ac:dyDescent="0.25">
      <c r="A118" s="81" t="s">
        <v>367</v>
      </c>
      <c r="B118" s="252"/>
      <c r="C118" s="432"/>
    </row>
    <row r="119" spans="1:3" ht="20.399999999999999" x14ac:dyDescent="0.25">
      <c r="A119" s="81" t="s">
        <v>367</v>
      </c>
      <c r="B119" s="248" t="s">
        <v>486</v>
      </c>
      <c r="C119" s="465" t="s">
        <v>486</v>
      </c>
    </row>
    <row r="120" spans="1:3" x14ac:dyDescent="0.25">
      <c r="A120" s="81">
        <v>119</v>
      </c>
      <c r="B120" s="244" t="s">
        <v>487</v>
      </c>
      <c r="C120" s="459" t="s">
        <v>487</v>
      </c>
    </row>
    <row r="121" spans="1:3" x14ac:dyDescent="0.25">
      <c r="A121" s="81">
        <v>120</v>
      </c>
      <c r="B121" s="248" t="s">
        <v>488</v>
      </c>
      <c r="C121" s="465" t="s">
        <v>488</v>
      </c>
    </row>
    <row r="122" spans="1:3" x14ac:dyDescent="0.25">
      <c r="A122" s="81">
        <v>121</v>
      </c>
      <c r="B122" s="244" t="s">
        <v>489</v>
      </c>
      <c r="C122" s="459" t="s">
        <v>489</v>
      </c>
    </row>
    <row r="123" spans="1:3" ht="20.399999999999999" x14ac:dyDescent="0.25">
      <c r="A123" s="81">
        <v>122</v>
      </c>
      <c r="B123" s="248" t="s">
        <v>490</v>
      </c>
      <c r="C123" s="465" t="s">
        <v>490</v>
      </c>
    </row>
    <row r="124" spans="1:3" ht="26.4" x14ac:dyDescent="0.25">
      <c r="A124" s="81">
        <v>123</v>
      </c>
      <c r="B124" s="244" t="s">
        <v>491</v>
      </c>
      <c r="C124" s="459" t="s">
        <v>491</v>
      </c>
    </row>
    <row r="125" spans="1:3" x14ac:dyDescent="0.25">
      <c r="A125" s="81">
        <v>124</v>
      </c>
      <c r="B125" s="255" t="s">
        <v>492</v>
      </c>
      <c r="C125" s="466" t="s">
        <v>492</v>
      </c>
    </row>
    <row r="126" spans="1:3" x14ac:dyDescent="0.25">
      <c r="A126" s="81">
        <v>125</v>
      </c>
      <c r="B126" s="255" t="s">
        <v>493</v>
      </c>
      <c r="C126" s="466" t="s">
        <v>493</v>
      </c>
    </row>
    <row r="127" spans="1:3" x14ac:dyDescent="0.25">
      <c r="A127" s="81">
        <v>126</v>
      </c>
      <c r="B127" s="255" t="s">
        <v>494</v>
      </c>
      <c r="C127" s="466" t="s">
        <v>494</v>
      </c>
    </row>
    <row r="128" spans="1:3" x14ac:dyDescent="0.25">
      <c r="A128" s="81">
        <v>127</v>
      </c>
      <c r="B128" s="255" t="s">
        <v>495</v>
      </c>
      <c r="C128" s="466" t="s">
        <v>495</v>
      </c>
    </row>
    <row r="129" spans="1:3" x14ac:dyDescent="0.25">
      <c r="A129" s="81">
        <v>128</v>
      </c>
      <c r="B129" s="244" t="s">
        <v>496</v>
      </c>
      <c r="C129" s="459" t="s">
        <v>496</v>
      </c>
    </row>
    <row r="130" spans="1:3" x14ac:dyDescent="0.25">
      <c r="A130" s="81">
        <v>129</v>
      </c>
      <c r="B130" s="255" t="s">
        <v>497</v>
      </c>
      <c r="C130" s="466" t="s">
        <v>497</v>
      </c>
    </row>
    <row r="131" spans="1:3" x14ac:dyDescent="0.25">
      <c r="A131" s="81">
        <v>130</v>
      </c>
      <c r="B131" s="255" t="s">
        <v>498</v>
      </c>
      <c r="C131" s="466" t="s">
        <v>498</v>
      </c>
    </row>
    <row r="132" spans="1:3" x14ac:dyDescent="0.25">
      <c r="A132" s="81">
        <v>131</v>
      </c>
      <c r="B132" s="255" t="s">
        <v>499</v>
      </c>
      <c r="C132" s="466" t="s">
        <v>499</v>
      </c>
    </row>
    <row r="133" spans="1:3" x14ac:dyDescent="0.25">
      <c r="A133" s="81">
        <v>132</v>
      </c>
      <c r="B133" s="255" t="s">
        <v>500</v>
      </c>
      <c r="C133" s="466" t="s">
        <v>500</v>
      </c>
    </row>
    <row r="134" spans="1:3" x14ac:dyDescent="0.25">
      <c r="A134" s="81">
        <v>133</v>
      </c>
      <c r="B134" s="255" t="s">
        <v>501</v>
      </c>
      <c r="C134" s="466" t="s">
        <v>501</v>
      </c>
    </row>
    <row r="135" spans="1:3" x14ac:dyDescent="0.25">
      <c r="A135" s="81">
        <v>134</v>
      </c>
      <c r="B135" s="255" t="s">
        <v>502</v>
      </c>
      <c r="C135" s="466" t="s">
        <v>502</v>
      </c>
    </row>
    <row r="136" spans="1:3" x14ac:dyDescent="0.25">
      <c r="A136" s="81">
        <v>135</v>
      </c>
      <c r="B136" s="255" t="s">
        <v>503</v>
      </c>
      <c r="C136" s="466" t="s">
        <v>503</v>
      </c>
    </row>
    <row r="137" spans="1:3" ht="26.4" x14ac:dyDescent="0.25">
      <c r="A137" s="81" t="s">
        <v>367</v>
      </c>
      <c r="B137" s="244" t="s">
        <v>504</v>
      </c>
      <c r="C137" s="459" t="s">
        <v>504</v>
      </c>
    </row>
    <row r="138" spans="1:3" ht="26.4" x14ac:dyDescent="0.25">
      <c r="A138" s="81" t="s">
        <v>367</v>
      </c>
      <c r="B138" s="244" t="s">
        <v>505</v>
      </c>
      <c r="C138" s="459" t="s">
        <v>505</v>
      </c>
    </row>
    <row r="139" spans="1:3" ht="30.6" x14ac:dyDescent="0.25">
      <c r="A139" s="81" t="s">
        <v>367</v>
      </c>
      <c r="B139" s="256" t="s">
        <v>506</v>
      </c>
      <c r="C139" s="465" t="s">
        <v>506</v>
      </c>
    </row>
    <row r="140" spans="1:3" ht="26.4" x14ac:dyDescent="0.25">
      <c r="A140" s="81" t="s">
        <v>367</v>
      </c>
      <c r="B140" s="257" t="s">
        <v>507</v>
      </c>
      <c r="C140" s="459" t="s">
        <v>507</v>
      </c>
    </row>
    <row r="141" spans="1:3" x14ac:dyDescent="0.25">
      <c r="A141" s="81" t="s">
        <v>367</v>
      </c>
      <c r="B141" s="244" t="s">
        <v>508</v>
      </c>
      <c r="C141" s="459" t="s">
        <v>508</v>
      </c>
    </row>
    <row r="142" spans="1:3" ht="20.399999999999999" x14ac:dyDescent="0.25">
      <c r="A142" s="81" t="s">
        <v>367</v>
      </c>
      <c r="B142" s="256" t="s">
        <v>509</v>
      </c>
      <c r="C142" s="465" t="s">
        <v>509</v>
      </c>
    </row>
    <row r="143" spans="1:3" x14ac:dyDescent="0.25">
      <c r="A143" s="81" t="s">
        <v>367</v>
      </c>
      <c r="B143" s="255" t="s">
        <v>510</v>
      </c>
      <c r="C143" s="466" t="s">
        <v>510</v>
      </c>
    </row>
    <row r="144" spans="1:3" x14ac:dyDescent="0.25">
      <c r="A144" s="81" t="s">
        <v>367</v>
      </c>
      <c r="B144" s="256" t="s">
        <v>511</v>
      </c>
      <c r="C144" s="465" t="s">
        <v>511</v>
      </c>
    </row>
    <row r="145" spans="1:3" x14ac:dyDescent="0.25">
      <c r="A145" s="81" t="s">
        <v>367</v>
      </c>
      <c r="B145" s="255" t="s">
        <v>512</v>
      </c>
      <c r="C145" s="466" t="s">
        <v>512</v>
      </c>
    </row>
    <row r="146" spans="1:3" x14ac:dyDescent="0.25">
      <c r="A146" s="81" t="s">
        <v>367</v>
      </c>
      <c r="B146" s="255" t="s">
        <v>513</v>
      </c>
      <c r="C146" s="466" t="s">
        <v>513</v>
      </c>
    </row>
    <row r="147" spans="1:3" ht="13.8" thickBot="1" x14ac:dyDescent="0.3">
      <c r="A147" s="81" t="s">
        <v>367</v>
      </c>
      <c r="B147" s="258" t="s">
        <v>514</v>
      </c>
      <c r="C147" s="459" t="s">
        <v>514</v>
      </c>
    </row>
    <row r="148" spans="1:3" ht="15.6" x14ac:dyDescent="0.25">
      <c r="A148" s="81" t="s">
        <v>367</v>
      </c>
      <c r="B148" s="247" t="s">
        <v>515</v>
      </c>
      <c r="C148" s="462" t="s">
        <v>515</v>
      </c>
    </row>
    <row r="149" spans="1:3" x14ac:dyDescent="0.25">
      <c r="A149" s="81" t="s">
        <v>367</v>
      </c>
      <c r="B149" s="244" t="s">
        <v>516</v>
      </c>
      <c r="C149" s="459" t="s">
        <v>516</v>
      </c>
    </row>
    <row r="150" spans="1:3" ht="20.399999999999999" x14ac:dyDescent="0.25">
      <c r="A150" s="81" t="s">
        <v>367</v>
      </c>
      <c r="B150" s="256" t="s">
        <v>517</v>
      </c>
      <c r="C150" s="465" t="s">
        <v>517</v>
      </c>
    </row>
    <row r="151" spans="1:3" x14ac:dyDescent="0.25">
      <c r="A151" s="81">
        <v>150</v>
      </c>
      <c r="B151" s="244" t="s">
        <v>518</v>
      </c>
      <c r="C151" s="459" t="s">
        <v>518</v>
      </c>
    </row>
    <row r="152" spans="1:3" x14ac:dyDescent="0.25">
      <c r="A152" s="81">
        <v>151</v>
      </c>
      <c r="B152" s="244" t="s">
        <v>519</v>
      </c>
      <c r="C152" s="459" t="s">
        <v>519</v>
      </c>
    </row>
    <row r="153" spans="1:3" x14ac:dyDescent="0.25">
      <c r="A153" s="81">
        <v>152</v>
      </c>
      <c r="B153" s="244" t="s">
        <v>520</v>
      </c>
      <c r="C153" s="459" t="s">
        <v>520</v>
      </c>
    </row>
    <row r="154" spans="1:3" x14ac:dyDescent="0.25">
      <c r="A154" s="81">
        <v>153</v>
      </c>
      <c r="B154" s="244" t="s">
        <v>521</v>
      </c>
      <c r="C154" s="459" t="s">
        <v>521</v>
      </c>
    </row>
    <row r="155" spans="1:3" x14ac:dyDescent="0.25">
      <c r="A155" s="81">
        <v>154</v>
      </c>
      <c r="B155" s="244" t="s">
        <v>522</v>
      </c>
      <c r="C155" s="459" t="s">
        <v>522</v>
      </c>
    </row>
    <row r="156" spans="1:3" x14ac:dyDescent="0.25">
      <c r="A156" s="81">
        <v>155</v>
      </c>
      <c r="B156" s="244" t="s">
        <v>523</v>
      </c>
      <c r="C156" s="459" t="s">
        <v>523</v>
      </c>
    </row>
    <row r="157" spans="1:3" x14ac:dyDescent="0.25">
      <c r="A157" s="81">
        <v>156</v>
      </c>
      <c r="B157" s="244" t="s">
        <v>524</v>
      </c>
      <c r="C157" s="459" t="s">
        <v>524</v>
      </c>
    </row>
    <row r="158" spans="1:3" x14ac:dyDescent="0.25">
      <c r="A158" s="81" t="s">
        <v>367</v>
      </c>
      <c r="B158" s="231" t="s">
        <v>525</v>
      </c>
      <c r="C158" s="458" t="s">
        <v>525</v>
      </c>
    </row>
    <row r="159" spans="1:3" x14ac:dyDescent="0.25">
      <c r="A159" s="81">
        <v>158</v>
      </c>
      <c r="B159" s="244" t="s">
        <v>526</v>
      </c>
      <c r="C159" s="459" t="s">
        <v>526</v>
      </c>
    </row>
    <row r="160" spans="1:3" ht="26.4" x14ac:dyDescent="0.25">
      <c r="A160" s="81" t="s">
        <v>367</v>
      </c>
      <c r="B160" s="231" t="s">
        <v>527</v>
      </c>
      <c r="C160" s="458" t="s">
        <v>527</v>
      </c>
    </row>
    <row r="161" spans="1:3" ht="20.399999999999999" x14ac:dyDescent="0.25">
      <c r="A161" s="81" t="s">
        <v>367</v>
      </c>
      <c r="B161" s="256" t="s">
        <v>528</v>
      </c>
      <c r="C161" s="465" t="s">
        <v>528</v>
      </c>
    </row>
    <row r="162" spans="1:3" x14ac:dyDescent="0.25">
      <c r="A162" s="81">
        <v>161</v>
      </c>
      <c r="B162" s="232" t="s">
        <v>529</v>
      </c>
      <c r="C162" s="459" t="s">
        <v>529</v>
      </c>
    </row>
    <row r="163" spans="1:3" x14ac:dyDescent="0.25">
      <c r="A163" s="81">
        <v>162</v>
      </c>
      <c r="B163" s="232" t="s">
        <v>530</v>
      </c>
      <c r="C163" s="459" t="s">
        <v>530</v>
      </c>
    </row>
    <row r="164" spans="1:3" x14ac:dyDescent="0.25">
      <c r="A164" s="81">
        <v>163</v>
      </c>
      <c r="B164" s="232" t="s">
        <v>531</v>
      </c>
      <c r="C164" s="459" t="s">
        <v>531</v>
      </c>
    </row>
    <row r="165" spans="1:3" x14ac:dyDescent="0.25">
      <c r="A165" s="81">
        <v>164</v>
      </c>
      <c r="B165" s="232" t="s">
        <v>532</v>
      </c>
      <c r="C165" s="459" t="s">
        <v>532</v>
      </c>
    </row>
    <row r="166" spans="1:3" x14ac:dyDescent="0.25">
      <c r="A166" s="81">
        <v>165</v>
      </c>
      <c r="B166" s="232" t="s">
        <v>533</v>
      </c>
      <c r="C166" s="459" t="s">
        <v>533</v>
      </c>
    </row>
    <row r="167" spans="1:3" x14ac:dyDescent="0.25">
      <c r="A167" s="81">
        <v>166</v>
      </c>
      <c r="B167" s="232" t="s">
        <v>534</v>
      </c>
      <c r="C167" s="459" t="s">
        <v>534</v>
      </c>
    </row>
    <row r="168" spans="1:3" x14ac:dyDescent="0.25">
      <c r="A168" s="81" t="s">
        <v>367</v>
      </c>
      <c r="B168" s="231" t="s">
        <v>535</v>
      </c>
      <c r="C168" s="458" t="s">
        <v>535</v>
      </c>
    </row>
    <row r="169" spans="1:3" ht="17.399999999999999" x14ac:dyDescent="0.25">
      <c r="A169" s="81" t="s">
        <v>367</v>
      </c>
      <c r="B169" s="230" t="s">
        <v>536</v>
      </c>
      <c r="C169" s="457" t="s">
        <v>536</v>
      </c>
    </row>
    <row r="170" spans="1:3" ht="15.6" x14ac:dyDescent="0.25">
      <c r="A170" s="81" t="s">
        <v>367</v>
      </c>
      <c r="B170" s="247" t="s">
        <v>537</v>
      </c>
      <c r="C170" s="462" t="s">
        <v>537</v>
      </c>
    </row>
    <row r="171" spans="1:3" ht="15.6" x14ac:dyDescent="0.25">
      <c r="A171" s="81" t="s">
        <v>367</v>
      </c>
      <c r="B171" s="241" t="s">
        <v>538</v>
      </c>
      <c r="C171" s="462" t="s">
        <v>538</v>
      </c>
    </row>
    <row r="172" spans="1:3" x14ac:dyDescent="0.25">
      <c r="A172" s="81" t="s">
        <v>367</v>
      </c>
      <c r="B172" s="244" t="s">
        <v>539</v>
      </c>
      <c r="C172" s="459" t="s">
        <v>540</v>
      </c>
    </row>
    <row r="173" spans="1:3" ht="30.6" x14ac:dyDescent="0.25">
      <c r="A173" s="81" t="s">
        <v>367</v>
      </c>
      <c r="B173" s="259" t="s">
        <v>541</v>
      </c>
      <c r="C173" s="465" t="s">
        <v>541</v>
      </c>
    </row>
    <row r="174" spans="1:3" ht="30.6" x14ac:dyDescent="0.25">
      <c r="A174" s="81" t="s">
        <v>367</v>
      </c>
      <c r="B174" s="259" t="s">
        <v>542</v>
      </c>
      <c r="C174" s="465" t="s">
        <v>542</v>
      </c>
    </row>
    <row r="175" spans="1:3" ht="20.399999999999999" x14ac:dyDescent="0.25">
      <c r="A175" s="81" t="s">
        <v>367</v>
      </c>
      <c r="B175" s="259" t="s">
        <v>543</v>
      </c>
      <c r="C175" s="465" t="s">
        <v>543</v>
      </c>
    </row>
    <row r="176" spans="1:3" ht="30.6" x14ac:dyDescent="0.25">
      <c r="A176" s="81" t="s">
        <v>367</v>
      </c>
      <c r="B176" s="259" t="s">
        <v>544</v>
      </c>
      <c r="C176" s="465" t="s">
        <v>544</v>
      </c>
    </row>
    <row r="177" spans="1:3" ht="13.8" thickBot="1" x14ac:dyDescent="0.3">
      <c r="A177" s="81" t="s">
        <v>367</v>
      </c>
      <c r="B177" s="244" t="s">
        <v>545</v>
      </c>
      <c r="C177" s="459" t="s">
        <v>545</v>
      </c>
    </row>
    <row r="178" spans="1:3" ht="31.2" thickBot="1" x14ac:dyDescent="0.3">
      <c r="A178" s="81" t="s">
        <v>367</v>
      </c>
      <c r="B178" s="260" t="s">
        <v>546</v>
      </c>
      <c r="C178" s="466" t="s">
        <v>546</v>
      </c>
    </row>
    <row r="179" spans="1:3" ht="21" thickBot="1" x14ac:dyDescent="0.3">
      <c r="A179" s="81" t="s">
        <v>367</v>
      </c>
      <c r="B179" s="261" t="s">
        <v>547</v>
      </c>
      <c r="C179" s="466" t="s">
        <v>547</v>
      </c>
    </row>
    <row r="180" spans="1:3" ht="21" thickBot="1" x14ac:dyDescent="0.3">
      <c r="A180" s="81" t="s">
        <v>367</v>
      </c>
      <c r="B180" s="261" t="s">
        <v>548</v>
      </c>
      <c r="C180" s="466" t="s">
        <v>548</v>
      </c>
    </row>
    <row r="181" spans="1:3" ht="21" thickBot="1" x14ac:dyDescent="0.3">
      <c r="A181" s="81" t="s">
        <v>367</v>
      </c>
      <c r="B181" s="261" t="s">
        <v>549</v>
      </c>
      <c r="C181" s="466" t="s">
        <v>549</v>
      </c>
    </row>
    <row r="182" spans="1:3" ht="21" thickBot="1" x14ac:dyDescent="0.3">
      <c r="A182" s="81" t="s">
        <v>367</v>
      </c>
      <c r="B182" s="261" t="s">
        <v>550</v>
      </c>
      <c r="C182" s="466" t="s">
        <v>550</v>
      </c>
    </row>
    <row r="183" spans="1:3" ht="13.8" thickBot="1" x14ac:dyDescent="0.3">
      <c r="A183" s="81" t="s">
        <v>367</v>
      </c>
      <c r="B183" s="261" t="s">
        <v>551</v>
      </c>
      <c r="C183" s="466" t="s">
        <v>551</v>
      </c>
    </row>
    <row r="184" spans="1:3" ht="13.8" thickBot="1" x14ac:dyDescent="0.3">
      <c r="A184" s="81">
        <v>183</v>
      </c>
      <c r="B184" s="261" t="s">
        <v>94</v>
      </c>
      <c r="C184" s="466" t="s">
        <v>94</v>
      </c>
    </row>
    <row r="185" spans="1:3" ht="13.8" thickBot="1" x14ac:dyDescent="0.3">
      <c r="A185" s="81" t="s">
        <v>367</v>
      </c>
      <c r="B185" s="261" t="s">
        <v>552</v>
      </c>
      <c r="C185" s="466" t="s">
        <v>552</v>
      </c>
    </row>
    <row r="186" spans="1:3" ht="30.6" x14ac:dyDescent="0.25">
      <c r="A186" s="81" t="s">
        <v>367</v>
      </c>
      <c r="B186" s="262" t="s">
        <v>553</v>
      </c>
      <c r="C186" s="466" t="s">
        <v>553</v>
      </c>
    </row>
    <row r="187" spans="1:3" x14ac:dyDescent="0.25">
      <c r="A187" s="81" t="s">
        <v>367</v>
      </c>
      <c r="B187" s="263" t="s">
        <v>554</v>
      </c>
      <c r="C187" s="470" t="s">
        <v>554</v>
      </c>
    </row>
    <row r="188" spans="1:3" x14ac:dyDescent="0.25">
      <c r="A188" s="81" t="s">
        <v>367</v>
      </c>
      <c r="B188" s="244" t="s">
        <v>555</v>
      </c>
      <c r="C188" s="459" t="s">
        <v>555</v>
      </c>
    </row>
    <row r="189" spans="1:3" ht="21" thickBot="1" x14ac:dyDescent="0.3">
      <c r="A189" s="81" t="s">
        <v>367</v>
      </c>
      <c r="B189" s="264" t="s">
        <v>556</v>
      </c>
      <c r="C189" s="465" t="s">
        <v>556</v>
      </c>
    </row>
    <row r="190" spans="1:3" ht="21" thickBot="1" x14ac:dyDescent="0.3">
      <c r="A190" s="81" t="s">
        <v>367</v>
      </c>
      <c r="B190" s="261" t="s">
        <v>557</v>
      </c>
      <c r="C190" s="466" t="s">
        <v>557</v>
      </c>
    </row>
    <row r="191" spans="1:3" x14ac:dyDescent="0.25">
      <c r="A191" s="81" t="s">
        <v>367</v>
      </c>
      <c r="B191" s="231" t="s">
        <v>558</v>
      </c>
      <c r="C191" s="458" t="s">
        <v>558</v>
      </c>
    </row>
    <row r="192" spans="1:3" ht="26.4" x14ac:dyDescent="0.25">
      <c r="A192" s="81" t="s">
        <v>367</v>
      </c>
      <c r="B192" s="244" t="s">
        <v>559</v>
      </c>
      <c r="C192" s="459" t="s">
        <v>560</v>
      </c>
    </row>
    <row r="193" spans="1:3" ht="21" thickBot="1" x14ac:dyDescent="0.3">
      <c r="A193" s="81" t="s">
        <v>367</v>
      </c>
      <c r="B193" s="256" t="s">
        <v>561</v>
      </c>
      <c r="C193" s="465" t="s">
        <v>562</v>
      </c>
    </row>
    <row r="194" spans="1:3" ht="13.8" thickBot="1" x14ac:dyDescent="0.3">
      <c r="A194" s="81" t="s">
        <v>367</v>
      </c>
      <c r="B194" s="265" t="s">
        <v>563</v>
      </c>
      <c r="C194" s="470" t="s">
        <v>563</v>
      </c>
    </row>
    <row r="195" spans="1:3" ht="13.8" thickBot="1" x14ac:dyDescent="0.3">
      <c r="A195" s="81" t="s">
        <v>367</v>
      </c>
      <c r="B195" s="266" t="s">
        <v>564</v>
      </c>
      <c r="C195" s="470" t="s">
        <v>564</v>
      </c>
    </row>
    <row r="196" spans="1:3" ht="40.200000000000003" thickBot="1" x14ac:dyDescent="0.3">
      <c r="A196" s="81" t="s">
        <v>367</v>
      </c>
      <c r="B196" s="231" t="s">
        <v>565</v>
      </c>
      <c r="C196" s="458" t="s">
        <v>565</v>
      </c>
    </row>
    <row r="197" spans="1:3" ht="13.8" thickBot="1" x14ac:dyDescent="0.3">
      <c r="A197" s="81" t="s">
        <v>367</v>
      </c>
      <c r="B197" s="265" t="s">
        <v>566</v>
      </c>
      <c r="C197" s="470" t="s">
        <v>566</v>
      </c>
    </row>
    <row r="198" spans="1:3" ht="13.8" thickBot="1" x14ac:dyDescent="0.3">
      <c r="A198" s="81" t="s">
        <v>367</v>
      </c>
      <c r="B198" s="266" t="s">
        <v>567</v>
      </c>
      <c r="C198" s="470" t="s">
        <v>567</v>
      </c>
    </row>
    <row r="199" spans="1:3" ht="13.8" thickBot="1" x14ac:dyDescent="0.3">
      <c r="A199" s="81" t="s">
        <v>367</v>
      </c>
      <c r="B199" s="266" t="s">
        <v>568</v>
      </c>
      <c r="C199" s="470" t="s">
        <v>568</v>
      </c>
    </row>
    <row r="200" spans="1:3" ht="13.8" thickBot="1" x14ac:dyDescent="0.3">
      <c r="A200" s="81" t="s">
        <v>367</v>
      </c>
      <c r="B200" s="266" t="s">
        <v>569</v>
      </c>
      <c r="C200" s="470" t="s">
        <v>569</v>
      </c>
    </row>
    <row r="201" spans="1:3" ht="26.4" x14ac:dyDescent="0.25">
      <c r="A201" s="81" t="s">
        <v>367</v>
      </c>
      <c r="B201" s="244" t="s">
        <v>570</v>
      </c>
      <c r="C201" s="459" t="s">
        <v>571</v>
      </c>
    </row>
    <row r="202" spans="1:3" ht="21" thickBot="1" x14ac:dyDescent="0.3">
      <c r="A202" s="81" t="s">
        <v>367</v>
      </c>
      <c r="B202" s="267" t="s">
        <v>572</v>
      </c>
      <c r="C202" s="465" t="s">
        <v>573</v>
      </c>
    </row>
    <row r="203" spans="1:3" ht="26.4" x14ac:dyDescent="0.25">
      <c r="A203" s="81" t="s">
        <v>367</v>
      </c>
      <c r="B203" s="244" t="s">
        <v>574</v>
      </c>
      <c r="C203" s="459" t="s">
        <v>574</v>
      </c>
    </row>
    <row r="204" spans="1:3" ht="21" thickBot="1" x14ac:dyDescent="0.3">
      <c r="A204" s="81" t="s">
        <v>367</v>
      </c>
      <c r="B204" s="267" t="s">
        <v>575</v>
      </c>
      <c r="C204" s="465" t="s">
        <v>576</v>
      </c>
    </row>
    <row r="205" spans="1:3" ht="15.6" x14ac:dyDescent="0.25">
      <c r="A205" s="81" t="s">
        <v>367</v>
      </c>
      <c r="B205" s="244" t="s">
        <v>577</v>
      </c>
      <c r="C205" s="459" t="s">
        <v>578</v>
      </c>
    </row>
    <row r="206" spans="1:3" x14ac:dyDescent="0.25">
      <c r="A206" s="81" t="s">
        <v>367</v>
      </c>
      <c r="B206" s="259" t="s">
        <v>579</v>
      </c>
      <c r="C206" s="465" t="s">
        <v>579</v>
      </c>
    </row>
    <row r="207" spans="1:3" x14ac:dyDescent="0.25">
      <c r="A207" s="81" t="s">
        <v>367</v>
      </c>
      <c r="B207" s="255" t="s">
        <v>580</v>
      </c>
      <c r="C207" s="466" t="s">
        <v>581</v>
      </c>
    </row>
    <row r="208" spans="1:3" ht="15.6" x14ac:dyDescent="0.25">
      <c r="A208" s="81" t="s">
        <v>367</v>
      </c>
      <c r="B208" s="247" t="s">
        <v>582</v>
      </c>
      <c r="C208" s="462" t="s">
        <v>582</v>
      </c>
    </row>
    <row r="209" spans="1:3" ht="42" x14ac:dyDescent="0.25">
      <c r="A209" s="81" t="s">
        <v>367</v>
      </c>
      <c r="B209" s="232" t="s">
        <v>583</v>
      </c>
      <c r="C209" s="459" t="s">
        <v>584</v>
      </c>
    </row>
    <row r="210" spans="1:3" ht="30.6" x14ac:dyDescent="0.25">
      <c r="A210" s="81" t="s">
        <v>367</v>
      </c>
      <c r="B210" s="259" t="s">
        <v>585</v>
      </c>
      <c r="C210" s="465" t="s">
        <v>585</v>
      </c>
    </row>
    <row r="211" spans="1:3" x14ac:dyDescent="0.25">
      <c r="A211" s="81" t="s">
        <v>367</v>
      </c>
      <c r="B211" s="231" t="s">
        <v>586</v>
      </c>
      <c r="C211" s="458" t="s">
        <v>586</v>
      </c>
    </row>
    <row r="212" spans="1:3" ht="26.4" x14ac:dyDescent="0.25">
      <c r="A212" s="81" t="s">
        <v>367</v>
      </c>
      <c r="B212" s="232" t="s">
        <v>587</v>
      </c>
      <c r="C212" s="459" t="s">
        <v>587</v>
      </c>
    </row>
    <row r="213" spans="1:3" ht="26.4" x14ac:dyDescent="0.25">
      <c r="A213" s="81" t="s">
        <v>367</v>
      </c>
      <c r="B213" s="232" t="s">
        <v>588</v>
      </c>
      <c r="C213" s="459" t="s">
        <v>588</v>
      </c>
    </row>
    <row r="214" spans="1:3" ht="33.6" thickBot="1" x14ac:dyDescent="0.3">
      <c r="A214" s="81" t="s">
        <v>367</v>
      </c>
      <c r="B214" s="268" t="s">
        <v>589</v>
      </c>
      <c r="C214" s="465" t="s">
        <v>590</v>
      </c>
    </row>
    <row r="215" spans="1:3" x14ac:dyDescent="0.25">
      <c r="A215" s="81" t="s">
        <v>367</v>
      </c>
      <c r="B215" s="231" t="s">
        <v>591</v>
      </c>
      <c r="C215" s="458" t="s">
        <v>591</v>
      </c>
    </row>
    <row r="216" spans="1:3" ht="21" x14ac:dyDescent="0.25">
      <c r="A216" s="81" t="s">
        <v>367</v>
      </c>
      <c r="B216" s="237" t="s">
        <v>592</v>
      </c>
      <c r="C216" s="457" t="s">
        <v>593</v>
      </c>
    </row>
    <row r="217" spans="1:3" x14ac:dyDescent="0.25">
      <c r="A217" s="81" t="s">
        <v>367</v>
      </c>
      <c r="B217" s="231" t="s">
        <v>594</v>
      </c>
      <c r="C217" s="458" t="s">
        <v>594</v>
      </c>
    </row>
    <row r="218" spans="1:3" x14ac:dyDescent="0.25">
      <c r="A218" s="81" t="s">
        <v>367</v>
      </c>
      <c r="B218" s="232" t="s">
        <v>595</v>
      </c>
      <c r="C218" s="459" t="s">
        <v>596</v>
      </c>
    </row>
    <row r="219" spans="1:3" ht="30.6" x14ac:dyDescent="0.25">
      <c r="A219" s="81" t="s">
        <v>367</v>
      </c>
      <c r="B219" s="256" t="s">
        <v>597</v>
      </c>
      <c r="C219" s="465" t="s">
        <v>597</v>
      </c>
    </row>
    <row r="220" spans="1:3" x14ac:dyDescent="0.25">
      <c r="A220" s="81">
        <v>219</v>
      </c>
      <c r="B220" s="231" t="s">
        <v>598</v>
      </c>
      <c r="C220" s="458" t="s">
        <v>598</v>
      </c>
    </row>
    <row r="221" spans="1:3" ht="39.6" x14ac:dyDescent="0.25">
      <c r="A221" s="81" t="s">
        <v>367</v>
      </c>
      <c r="B221" s="231" t="s">
        <v>599</v>
      </c>
      <c r="C221" s="458" t="s">
        <v>599</v>
      </c>
    </row>
    <row r="222" spans="1:3" x14ac:dyDescent="0.25">
      <c r="A222" s="81">
        <v>221</v>
      </c>
      <c r="B222" s="231" t="s">
        <v>600</v>
      </c>
      <c r="C222" s="458" t="s">
        <v>600</v>
      </c>
    </row>
    <row r="223" spans="1:3" ht="40.200000000000003" thickBot="1" x14ac:dyDescent="0.3">
      <c r="A223" s="81" t="s">
        <v>367</v>
      </c>
      <c r="B223" s="231" t="s">
        <v>601</v>
      </c>
      <c r="C223" s="458" t="s">
        <v>601</v>
      </c>
    </row>
    <row r="224" spans="1:3" ht="13.8" thickBot="1" x14ac:dyDescent="0.3">
      <c r="A224" s="81" t="s">
        <v>367</v>
      </c>
      <c r="B224" s="260" t="s">
        <v>602</v>
      </c>
      <c r="C224" s="466" t="s">
        <v>602</v>
      </c>
    </row>
    <row r="225" spans="1:3" ht="13.8" thickBot="1" x14ac:dyDescent="0.3">
      <c r="A225" s="81" t="s">
        <v>367</v>
      </c>
      <c r="B225" s="261" t="s">
        <v>603</v>
      </c>
      <c r="C225" s="466" t="s">
        <v>603</v>
      </c>
    </row>
    <row r="226" spans="1:3" ht="13.8" thickBot="1" x14ac:dyDescent="0.3">
      <c r="A226" s="81" t="s">
        <v>367</v>
      </c>
      <c r="B226" s="261" t="s">
        <v>604</v>
      </c>
      <c r="C226" s="466" t="s">
        <v>604</v>
      </c>
    </row>
    <row r="227" spans="1:3" ht="13.8" thickBot="1" x14ac:dyDescent="0.3">
      <c r="A227" s="81" t="s">
        <v>367</v>
      </c>
      <c r="B227" s="261" t="s">
        <v>605</v>
      </c>
      <c r="C227" s="466" t="s">
        <v>605</v>
      </c>
    </row>
    <row r="228" spans="1:3" x14ac:dyDescent="0.25">
      <c r="A228" s="81" t="s">
        <v>367</v>
      </c>
      <c r="B228" s="255" t="s">
        <v>606</v>
      </c>
      <c r="C228" s="466" t="s">
        <v>606</v>
      </c>
    </row>
    <row r="229" spans="1:3" ht="26.4" x14ac:dyDescent="0.25">
      <c r="A229" s="81" t="s">
        <v>367</v>
      </c>
      <c r="B229" s="232" t="s">
        <v>607</v>
      </c>
      <c r="C229" s="459" t="s">
        <v>608</v>
      </c>
    </row>
    <row r="230" spans="1:3" ht="52.8" x14ac:dyDescent="0.25">
      <c r="A230" s="81" t="s">
        <v>367</v>
      </c>
      <c r="B230" s="231" t="s">
        <v>609</v>
      </c>
      <c r="C230" s="458" t="s">
        <v>609</v>
      </c>
    </row>
    <row r="231" spans="1:3" ht="26.4" x14ac:dyDescent="0.25">
      <c r="A231" s="81" t="s">
        <v>367</v>
      </c>
      <c r="B231" s="244" t="s">
        <v>610</v>
      </c>
      <c r="C231" s="459" t="s">
        <v>611</v>
      </c>
    </row>
    <row r="232" spans="1:3" ht="41.4" thickBot="1" x14ac:dyDescent="0.3">
      <c r="A232" s="81" t="s">
        <v>367</v>
      </c>
      <c r="B232" s="269" t="s">
        <v>612</v>
      </c>
      <c r="C232" s="465" t="s">
        <v>612</v>
      </c>
    </row>
    <row r="233" spans="1:3" ht="13.8" thickBot="1" x14ac:dyDescent="0.3">
      <c r="A233" s="81" t="s">
        <v>367</v>
      </c>
      <c r="B233" s="270" t="s">
        <v>613</v>
      </c>
      <c r="C233" s="471" t="s">
        <v>614</v>
      </c>
    </row>
    <row r="234" spans="1:3" ht="26.4" x14ac:dyDescent="0.25">
      <c r="A234" s="81" t="s">
        <v>367</v>
      </c>
      <c r="B234" s="232" t="s">
        <v>615</v>
      </c>
      <c r="C234" s="459" t="s">
        <v>615</v>
      </c>
    </row>
    <row r="235" spans="1:3" ht="20.399999999999999" x14ac:dyDescent="0.25">
      <c r="A235" s="81" t="s">
        <v>367</v>
      </c>
      <c r="B235" s="256" t="s">
        <v>616</v>
      </c>
      <c r="C235" s="465" t="s">
        <v>616</v>
      </c>
    </row>
    <row r="236" spans="1:3" ht="26.4" x14ac:dyDescent="0.25">
      <c r="A236" s="81" t="s">
        <v>367</v>
      </c>
      <c r="B236" s="232" t="s">
        <v>617</v>
      </c>
      <c r="C236" s="459" t="s">
        <v>617</v>
      </c>
    </row>
    <row r="237" spans="1:3" ht="21" thickBot="1" x14ac:dyDescent="0.3">
      <c r="A237" s="81" t="s">
        <v>367</v>
      </c>
      <c r="B237" s="256" t="s">
        <v>618</v>
      </c>
      <c r="C237" s="465" t="s">
        <v>618</v>
      </c>
    </row>
    <row r="238" spans="1:3" ht="13.8" thickBot="1" x14ac:dyDescent="0.3">
      <c r="A238" s="81" t="s">
        <v>367</v>
      </c>
      <c r="B238" s="260" t="s">
        <v>619</v>
      </c>
      <c r="C238" s="466" t="s">
        <v>619</v>
      </c>
    </row>
    <row r="239" spans="1:3" ht="13.8" thickBot="1" x14ac:dyDescent="0.3">
      <c r="A239" s="81" t="s">
        <v>367</v>
      </c>
      <c r="B239" s="261" t="s">
        <v>620</v>
      </c>
      <c r="C239" s="466" t="s">
        <v>620</v>
      </c>
    </row>
    <row r="240" spans="1:3" ht="13.8" thickBot="1" x14ac:dyDescent="0.3">
      <c r="A240" s="81" t="s">
        <v>367</v>
      </c>
      <c r="B240" s="261" t="s">
        <v>621</v>
      </c>
      <c r="C240" s="466" t="s">
        <v>621</v>
      </c>
    </row>
    <row r="241" spans="1:3" ht="13.8" thickBot="1" x14ac:dyDescent="0.3">
      <c r="A241" s="81" t="s">
        <v>367</v>
      </c>
      <c r="B241" s="261" t="s">
        <v>622</v>
      </c>
      <c r="C241" s="466" t="s">
        <v>622</v>
      </c>
    </row>
    <row r="242" spans="1:3" x14ac:dyDescent="0.25">
      <c r="A242" s="81" t="s">
        <v>367</v>
      </c>
      <c r="B242" s="255" t="s">
        <v>623</v>
      </c>
      <c r="C242" s="466" t="s">
        <v>623</v>
      </c>
    </row>
    <row r="243" spans="1:3" ht="26.4" x14ac:dyDescent="0.25">
      <c r="A243" s="81" t="s">
        <v>367</v>
      </c>
      <c r="B243" s="232" t="s">
        <v>624</v>
      </c>
      <c r="C243" s="459" t="s">
        <v>624</v>
      </c>
    </row>
    <row r="244" spans="1:3" ht="20.399999999999999" x14ac:dyDescent="0.25">
      <c r="A244" s="81" t="s">
        <v>367</v>
      </c>
      <c r="B244" s="256" t="s">
        <v>625</v>
      </c>
      <c r="C244" s="465" t="s">
        <v>625</v>
      </c>
    </row>
    <row r="245" spans="1:3" ht="26.4" x14ac:dyDescent="0.25">
      <c r="A245" s="81" t="s">
        <v>367</v>
      </c>
      <c r="B245" s="232" t="s">
        <v>626</v>
      </c>
      <c r="C245" s="459" t="s">
        <v>627</v>
      </c>
    </row>
    <row r="246" spans="1:3" ht="41.4" thickBot="1" x14ac:dyDescent="0.3">
      <c r="A246" s="81" t="s">
        <v>367</v>
      </c>
      <c r="B246" s="267" t="s">
        <v>628</v>
      </c>
      <c r="C246" s="465" t="s">
        <v>628</v>
      </c>
    </row>
    <row r="247" spans="1:3" ht="13.8" thickBot="1" x14ac:dyDescent="0.3">
      <c r="A247" s="81" t="s">
        <v>367</v>
      </c>
      <c r="B247" s="261" t="s">
        <v>629</v>
      </c>
      <c r="C247" s="466" t="s">
        <v>629</v>
      </c>
    </row>
    <row r="248" spans="1:3" ht="13.8" thickBot="1" x14ac:dyDescent="0.3">
      <c r="A248" s="81" t="s">
        <v>367</v>
      </c>
      <c r="B248" s="261" t="s">
        <v>630</v>
      </c>
      <c r="C248" s="466" t="s">
        <v>630</v>
      </c>
    </row>
    <row r="249" spans="1:3" ht="13.8" thickBot="1" x14ac:dyDescent="0.3">
      <c r="A249" s="81" t="s">
        <v>367</v>
      </c>
      <c r="B249" s="261" t="s">
        <v>631</v>
      </c>
      <c r="C249" s="466" t="s">
        <v>631</v>
      </c>
    </row>
    <row r="250" spans="1:3" ht="15.6" x14ac:dyDescent="0.25">
      <c r="A250" s="81" t="s">
        <v>367</v>
      </c>
      <c r="B250" s="247" t="s">
        <v>632</v>
      </c>
      <c r="C250" s="462" t="s">
        <v>632</v>
      </c>
    </row>
    <row r="251" spans="1:3" ht="26.4" x14ac:dyDescent="0.25">
      <c r="A251" s="81" t="s">
        <v>367</v>
      </c>
      <c r="B251" s="232" t="s">
        <v>633</v>
      </c>
      <c r="C251" s="459" t="s">
        <v>634</v>
      </c>
    </row>
    <row r="252" spans="1:3" ht="51.6" thickBot="1" x14ac:dyDescent="0.3">
      <c r="A252" s="81" t="s">
        <v>367</v>
      </c>
      <c r="B252" s="256" t="s">
        <v>635</v>
      </c>
      <c r="C252" s="465" t="s">
        <v>635</v>
      </c>
    </row>
    <row r="253" spans="1:3" ht="13.8" thickBot="1" x14ac:dyDescent="0.3">
      <c r="A253" s="81" t="s">
        <v>367</v>
      </c>
      <c r="B253" s="271" t="s">
        <v>636</v>
      </c>
      <c r="C253" s="466" t="s">
        <v>636</v>
      </c>
    </row>
    <row r="254" spans="1:3" ht="13.8" thickBot="1" x14ac:dyDescent="0.3">
      <c r="A254" s="81" t="s">
        <v>367</v>
      </c>
      <c r="B254" s="271" t="s">
        <v>637</v>
      </c>
      <c r="C254" s="466" t="s">
        <v>637</v>
      </c>
    </row>
    <row r="255" spans="1:3" ht="13.8" thickBot="1" x14ac:dyDescent="0.3">
      <c r="A255" s="81" t="s">
        <v>367</v>
      </c>
      <c r="B255" s="260" t="s">
        <v>638</v>
      </c>
      <c r="C255" s="466" t="s">
        <v>638</v>
      </c>
    </row>
    <row r="256" spans="1:3" ht="31.2" thickBot="1" x14ac:dyDescent="0.3">
      <c r="A256" s="81" t="s">
        <v>367</v>
      </c>
      <c r="B256" s="261" t="s">
        <v>639</v>
      </c>
      <c r="C256" s="466" t="s">
        <v>639</v>
      </c>
    </row>
    <row r="257" spans="1:3" ht="13.8" thickBot="1" x14ac:dyDescent="0.3">
      <c r="A257" s="81" t="s">
        <v>367</v>
      </c>
      <c r="B257" s="261" t="s">
        <v>640</v>
      </c>
      <c r="C257" s="466" t="s">
        <v>640</v>
      </c>
    </row>
    <row r="258" spans="1:3" ht="26.4" x14ac:dyDescent="0.25">
      <c r="A258" s="81" t="s">
        <v>367</v>
      </c>
      <c r="B258" s="244" t="s">
        <v>641</v>
      </c>
      <c r="C258" s="459" t="s">
        <v>641</v>
      </c>
    </row>
    <row r="259" spans="1:3" ht="31.2" thickBot="1" x14ac:dyDescent="0.3">
      <c r="A259" s="81" t="s">
        <v>367</v>
      </c>
      <c r="B259" s="267" t="s">
        <v>642</v>
      </c>
      <c r="C259" s="465" t="s">
        <v>642</v>
      </c>
    </row>
    <row r="260" spans="1:3" ht="13.8" thickBot="1" x14ac:dyDescent="0.3">
      <c r="A260" s="81" t="s">
        <v>367</v>
      </c>
      <c r="B260" s="250" t="s">
        <v>643</v>
      </c>
      <c r="C260" s="466" t="s">
        <v>643</v>
      </c>
    </row>
    <row r="261" spans="1:3" ht="13.8" thickBot="1" x14ac:dyDescent="0.3">
      <c r="A261" s="81" t="s">
        <v>367</v>
      </c>
      <c r="B261" s="250" t="s">
        <v>644</v>
      </c>
      <c r="C261" s="466" t="s">
        <v>644</v>
      </c>
    </row>
    <row r="262" spans="1:3" ht="13.8" thickBot="1" x14ac:dyDescent="0.3">
      <c r="A262" s="81" t="s">
        <v>367</v>
      </c>
      <c r="B262" s="250" t="s">
        <v>645</v>
      </c>
      <c r="C262" s="466" t="s">
        <v>645</v>
      </c>
    </row>
    <row r="263" spans="1:3" ht="26.4" x14ac:dyDescent="0.25">
      <c r="A263" s="81" t="s">
        <v>367</v>
      </c>
      <c r="B263" s="244" t="s">
        <v>646</v>
      </c>
      <c r="C263" s="459" t="s">
        <v>646</v>
      </c>
    </row>
    <row r="264" spans="1:3" ht="33" x14ac:dyDescent="0.25">
      <c r="A264" s="81" t="s">
        <v>367</v>
      </c>
      <c r="B264" s="259" t="s">
        <v>647</v>
      </c>
      <c r="C264" s="465" t="s">
        <v>648</v>
      </c>
    </row>
    <row r="265" spans="1:3" ht="31.2" thickBot="1" x14ac:dyDescent="0.3">
      <c r="A265" s="81" t="s">
        <v>367</v>
      </c>
      <c r="B265" s="259" t="s">
        <v>649</v>
      </c>
      <c r="C265" s="465" t="s">
        <v>649</v>
      </c>
    </row>
    <row r="266" spans="1:3" ht="13.8" thickBot="1" x14ac:dyDescent="0.3">
      <c r="A266" s="81" t="s">
        <v>367</v>
      </c>
      <c r="B266" s="260" t="s">
        <v>650</v>
      </c>
      <c r="C266" s="466" t="s">
        <v>650</v>
      </c>
    </row>
    <row r="267" spans="1:3" ht="13.8" thickBot="1" x14ac:dyDescent="0.3">
      <c r="A267" s="81" t="s">
        <v>367</v>
      </c>
      <c r="B267" s="261" t="s">
        <v>651</v>
      </c>
      <c r="C267" s="466" t="s">
        <v>652</v>
      </c>
    </row>
    <row r="268" spans="1:3" ht="13.8" thickBot="1" x14ac:dyDescent="0.3">
      <c r="A268" s="81" t="s">
        <v>367</v>
      </c>
      <c r="B268" s="261" t="s">
        <v>653</v>
      </c>
      <c r="C268" s="466" t="s">
        <v>654</v>
      </c>
    </row>
    <row r="269" spans="1:3" ht="13.8" thickBot="1" x14ac:dyDescent="0.3">
      <c r="A269" s="81" t="s">
        <v>367</v>
      </c>
      <c r="B269" s="261" t="s">
        <v>655</v>
      </c>
      <c r="C269" s="466" t="s">
        <v>655</v>
      </c>
    </row>
    <row r="270" spans="1:3" ht="13.8" thickBot="1" x14ac:dyDescent="0.3">
      <c r="A270" s="81" t="s">
        <v>367</v>
      </c>
      <c r="B270" s="261" t="s">
        <v>656</v>
      </c>
      <c r="C270" s="466" t="s">
        <v>656</v>
      </c>
    </row>
    <row r="271" spans="1:3" ht="13.8" thickBot="1" x14ac:dyDescent="0.3">
      <c r="A271" s="81" t="s">
        <v>367</v>
      </c>
      <c r="B271" s="261" t="s">
        <v>657</v>
      </c>
      <c r="C271" s="466" t="s">
        <v>657</v>
      </c>
    </row>
    <row r="272" spans="1:3" ht="13.8" thickBot="1" x14ac:dyDescent="0.3">
      <c r="A272" s="81" t="s">
        <v>367</v>
      </c>
      <c r="B272" s="261" t="s">
        <v>658</v>
      </c>
      <c r="C272" s="466" t="s">
        <v>658</v>
      </c>
    </row>
    <row r="273" spans="1:3" ht="13.8" thickBot="1" x14ac:dyDescent="0.3">
      <c r="A273" s="81">
        <v>272</v>
      </c>
      <c r="B273" s="266" t="s">
        <v>79</v>
      </c>
      <c r="C273" s="470" t="s">
        <v>79</v>
      </c>
    </row>
    <row r="274" spans="1:3" ht="13.8" thickBot="1" x14ac:dyDescent="0.3">
      <c r="A274" s="81">
        <v>273</v>
      </c>
      <c r="B274" s="266" t="s">
        <v>80</v>
      </c>
      <c r="C274" s="470" t="s">
        <v>80</v>
      </c>
    </row>
    <row r="275" spans="1:3" ht="13.8" thickBot="1" x14ac:dyDescent="0.3">
      <c r="A275" s="81">
        <v>274</v>
      </c>
      <c r="B275" s="266" t="s">
        <v>81</v>
      </c>
      <c r="C275" s="470" t="s">
        <v>81</v>
      </c>
    </row>
    <row r="276" spans="1:3" ht="13.8" thickBot="1" x14ac:dyDescent="0.3">
      <c r="A276" s="81" t="s">
        <v>367</v>
      </c>
      <c r="B276" s="261" t="s">
        <v>659</v>
      </c>
      <c r="C276" s="466" t="s">
        <v>659</v>
      </c>
    </row>
    <row r="277" spans="1:3" x14ac:dyDescent="0.25">
      <c r="A277" s="81" t="s">
        <v>367</v>
      </c>
      <c r="B277" s="419" t="s">
        <v>660</v>
      </c>
      <c r="C277" s="466" t="s">
        <v>660</v>
      </c>
    </row>
    <row r="278" spans="1:3" ht="13.8" thickBot="1" x14ac:dyDescent="0.3">
      <c r="A278" s="81" t="s">
        <v>367</v>
      </c>
      <c r="B278" s="272" t="s">
        <v>661</v>
      </c>
      <c r="C278" s="458" t="s">
        <v>661</v>
      </c>
    </row>
    <row r="279" spans="1:3" ht="13.8" thickBot="1" x14ac:dyDescent="0.3">
      <c r="A279" s="81" t="s">
        <v>367</v>
      </c>
      <c r="B279" s="231" t="s">
        <v>662</v>
      </c>
      <c r="C279" s="458" t="s">
        <v>662</v>
      </c>
    </row>
    <row r="280" spans="1:3" ht="13.8" thickBot="1" x14ac:dyDescent="0.3">
      <c r="A280" s="81" t="s">
        <v>367</v>
      </c>
      <c r="B280" s="273" t="s">
        <v>663</v>
      </c>
      <c r="C280" s="458" t="s">
        <v>663</v>
      </c>
    </row>
    <row r="281" spans="1:3" ht="26.4" x14ac:dyDescent="0.25">
      <c r="A281" s="81" t="s">
        <v>367</v>
      </c>
      <c r="B281" s="232" t="s">
        <v>664</v>
      </c>
      <c r="C281" s="459" t="s">
        <v>664</v>
      </c>
    </row>
    <row r="282" spans="1:3" x14ac:dyDescent="0.25">
      <c r="A282" s="81" t="s">
        <v>367</v>
      </c>
      <c r="B282" s="256" t="s">
        <v>665</v>
      </c>
      <c r="C282" s="465" t="s">
        <v>665</v>
      </c>
    </row>
    <row r="283" spans="1:3" x14ac:dyDescent="0.25">
      <c r="A283" s="81" t="s">
        <v>367</v>
      </c>
      <c r="B283" s="256" t="s">
        <v>666</v>
      </c>
      <c r="C283" s="465" t="s">
        <v>666</v>
      </c>
    </row>
    <row r="284" spans="1:3" ht="26.4" x14ac:dyDescent="0.25">
      <c r="A284" s="81" t="s">
        <v>367</v>
      </c>
      <c r="B284" s="232" t="s">
        <v>667</v>
      </c>
      <c r="C284" s="459" t="s">
        <v>667</v>
      </c>
    </row>
    <row r="285" spans="1:3" ht="41.4" thickBot="1" x14ac:dyDescent="0.3">
      <c r="A285" s="81" t="s">
        <v>367</v>
      </c>
      <c r="B285" s="267" t="s">
        <v>668</v>
      </c>
      <c r="C285" s="465" t="s">
        <v>668</v>
      </c>
    </row>
    <row r="286" spans="1:3" ht="39.6" x14ac:dyDescent="0.25">
      <c r="A286" s="81" t="s">
        <v>367</v>
      </c>
      <c r="B286" s="232" t="s">
        <v>669</v>
      </c>
      <c r="C286" s="459" t="s">
        <v>669</v>
      </c>
    </row>
    <row r="287" spans="1:3" ht="13.8" thickBot="1" x14ac:dyDescent="0.3">
      <c r="A287" s="81" t="s">
        <v>367</v>
      </c>
      <c r="B287" s="267" t="s">
        <v>670</v>
      </c>
      <c r="C287" s="465" t="s">
        <v>670</v>
      </c>
    </row>
    <row r="288" spans="1:3" ht="27" thickBot="1" x14ac:dyDescent="0.3">
      <c r="A288" s="81" t="s">
        <v>367</v>
      </c>
      <c r="B288" s="232" t="s">
        <v>671</v>
      </c>
      <c r="C288" s="459" t="s">
        <v>671</v>
      </c>
    </row>
    <row r="289" spans="1:3" ht="13.8" thickBot="1" x14ac:dyDescent="0.3">
      <c r="A289" s="81" t="s">
        <v>367</v>
      </c>
      <c r="B289" s="260" t="s">
        <v>672</v>
      </c>
      <c r="C289" s="466" t="s">
        <v>672</v>
      </c>
    </row>
    <row r="290" spans="1:3" ht="21" thickBot="1" x14ac:dyDescent="0.3">
      <c r="A290" s="81" t="s">
        <v>367</v>
      </c>
      <c r="B290" s="261" t="s">
        <v>673</v>
      </c>
      <c r="C290" s="466" t="s">
        <v>673</v>
      </c>
    </row>
    <row r="291" spans="1:3" ht="13.8" thickBot="1" x14ac:dyDescent="0.3">
      <c r="A291" s="81" t="s">
        <v>367</v>
      </c>
      <c r="B291" s="261" t="s">
        <v>674</v>
      </c>
      <c r="C291" s="466" t="s">
        <v>674</v>
      </c>
    </row>
    <row r="292" spans="1:3" ht="26.4" x14ac:dyDescent="0.25">
      <c r="A292" s="81" t="s">
        <v>367</v>
      </c>
      <c r="B292" s="232" t="s">
        <v>675</v>
      </c>
      <c r="C292" s="459" t="s">
        <v>675</v>
      </c>
    </row>
    <row r="293" spans="1:3" ht="31.2" thickBot="1" x14ac:dyDescent="0.3">
      <c r="A293" s="81" t="s">
        <v>367</v>
      </c>
      <c r="B293" s="267" t="s">
        <v>676</v>
      </c>
      <c r="C293" s="465" t="s">
        <v>676</v>
      </c>
    </row>
    <row r="294" spans="1:3" x14ac:dyDescent="0.25">
      <c r="A294" s="81" t="s">
        <v>367</v>
      </c>
      <c r="B294" s="232" t="s">
        <v>677</v>
      </c>
      <c r="C294" s="459" t="s">
        <v>678</v>
      </c>
    </row>
    <row r="295" spans="1:3" ht="21" thickBot="1" x14ac:dyDescent="0.3">
      <c r="A295" s="81" t="s">
        <v>367</v>
      </c>
      <c r="B295" s="264" t="s">
        <v>679</v>
      </c>
      <c r="C295" s="465" t="s">
        <v>679</v>
      </c>
    </row>
    <row r="296" spans="1:3" ht="13.8" thickBot="1" x14ac:dyDescent="0.3">
      <c r="A296" s="81" t="s">
        <v>367</v>
      </c>
      <c r="B296" s="261" t="s">
        <v>680</v>
      </c>
      <c r="C296" s="466" t="s">
        <v>680</v>
      </c>
    </row>
    <row r="297" spans="1:3" ht="13.8" thickBot="1" x14ac:dyDescent="0.3">
      <c r="A297" s="81" t="s">
        <v>367</v>
      </c>
      <c r="B297" s="261" t="s">
        <v>681</v>
      </c>
      <c r="C297" s="466" t="s">
        <v>681</v>
      </c>
    </row>
    <row r="298" spans="1:3" ht="13.8" thickBot="1" x14ac:dyDescent="0.3">
      <c r="A298" s="81" t="s">
        <v>367</v>
      </c>
      <c r="B298" s="261" t="s">
        <v>682</v>
      </c>
      <c r="C298" s="466" t="s">
        <v>682</v>
      </c>
    </row>
    <row r="299" spans="1:3" ht="13.8" thickBot="1" x14ac:dyDescent="0.3">
      <c r="A299" s="81" t="s">
        <v>367</v>
      </c>
      <c r="B299" s="261" t="s">
        <v>683</v>
      </c>
      <c r="C299" s="466" t="s">
        <v>683</v>
      </c>
    </row>
    <row r="300" spans="1:3" ht="26.4" x14ac:dyDescent="0.25">
      <c r="A300" s="81" t="s">
        <v>367</v>
      </c>
      <c r="B300" s="232" t="s">
        <v>684</v>
      </c>
      <c r="C300" s="459" t="s">
        <v>685</v>
      </c>
    </row>
    <row r="301" spans="1:3" ht="21" thickBot="1" x14ac:dyDescent="0.3">
      <c r="A301" s="81" t="s">
        <v>367</v>
      </c>
      <c r="B301" s="264" t="s">
        <v>686</v>
      </c>
      <c r="C301" s="465" t="s">
        <v>686</v>
      </c>
    </row>
    <row r="302" spans="1:3" ht="13.8" thickBot="1" x14ac:dyDescent="0.3">
      <c r="A302" s="81" t="s">
        <v>367</v>
      </c>
      <c r="B302" s="261" t="s">
        <v>687</v>
      </c>
      <c r="C302" s="466" t="s">
        <v>687</v>
      </c>
    </row>
    <row r="303" spans="1:3" ht="53.4" thickBot="1" x14ac:dyDescent="0.3">
      <c r="A303" s="81" t="s">
        <v>367</v>
      </c>
      <c r="B303" s="232" t="s">
        <v>688</v>
      </c>
      <c r="C303" s="459" t="s">
        <v>688</v>
      </c>
    </row>
    <row r="304" spans="1:3" ht="13.8" thickBot="1" x14ac:dyDescent="0.3">
      <c r="A304" s="81" t="s">
        <v>367</v>
      </c>
      <c r="B304" s="260" t="s">
        <v>689</v>
      </c>
      <c r="C304" s="466" t="s">
        <v>689</v>
      </c>
    </row>
    <row r="305" spans="1:3" ht="13.8" thickBot="1" x14ac:dyDescent="0.3">
      <c r="A305" s="81" t="s">
        <v>367</v>
      </c>
      <c r="B305" s="261" t="s">
        <v>690</v>
      </c>
      <c r="C305" s="466" t="s">
        <v>690</v>
      </c>
    </row>
    <row r="306" spans="1:3" ht="13.8" thickBot="1" x14ac:dyDescent="0.3">
      <c r="A306" s="81" t="s">
        <v>367</v>
      </c>
      <c r="B306" s="261" t="s">
        <v>691</v>
      </c>
      <c r="C306" s="466" t="s">
        <v>691</v>
      </c>
    </row>
    <row r="307" spans="1:3" ht="13.8" thickBot="1" x14ac:dyDescent="0.3">
      <c r="A307" s="81" t="s">
        <v>367</v>
      </c>
      <c r="B307" s="261" t="s">
        <v>692</v>
      </c>
      <c r="C307" s="466" t="s">
        <v>692</v>
      </c>
    </row>
    <row r="308" spans="1:3" ht="21" x14ac:dyDescent="0.25">
      <c r="A308" s="81" t="s">
        <v>367</v>
      </c>
      <c r="B308" s="237" t="s">
        <v>693</v>
      </c>
      <c r="C308" s="457" t="s">
        <v>694</v>
      </c>
    </row>
    <row r="309" spans="1:3" ht="15.6" x14ac:dyDescent="0.25">
      <c r="A309" s="81" t="s">
        <v>367</v>
      </c>
      <c r="B309" s="247" t="s">
        <v>695</v>
      </c>
      <c r="C309" s="462" t="s">
        <v>695</v>
      </c>
    </row>
    <row r="310" spans="1:3" ht="30.6" x14ac:dyDescent="0.25">
      <c r="A310" s="81" t="s">
        <v>367</v>
      </c>
      <c r="B310" s="259" t="s">
        <v>696</v>
      </c>
      <c r="C310" s="465" t="s">
        <v>696</v>
      </c>
    </row>
    <row r="311" spans="1:3" ht="20.399999999999999" x14ac:dyDescent="0.25">
      <c r="A311" s="81" t="s">
        <v>367</v>
      </c>
      <c r="B311" s="274" t="s">
        <v>697</v>
      </c>
      <c r="C311" s="467" t="s">
        <v>697</v>
      </c>
    </row>
    <row r="312" spans="1:3" ht="26.4" x14ac:dyDescent="0.25">
      <c r="A312" s="81" t="s">
        <v>367</v>
      </c>
      <c r="B312" s="232" t="s">
        <v>698</v>
      </c>
      <c r="C312" s="459" t="s">
        <v>698</v>
      </c>
    </row>
    <row r="313" spans="1:3" ht="27" thickBot="1" x14ac:dyDescent="0.3">
      <c r="A313" s="81" t="s">
        <v>367</v>
      </c>
      <c r="B313" s="232" t="s">
        <v>699</v>
      </c>
      <c r="C313" s="459" t="s">
        <v>699</v>
      </c>
    </row>
    <row r="314" spans="1:3" ht="13.8" thickBot="1" x14ac:dyDescent="0.3">
      <c r="A314" s="81" t="s">
        <v>367</v>
      </c>
      <c r="B314" s="260" t="s">
        <v>700</v>
      </c>
      <c r="C314" s="466" t="s">
        <v>701</v>
      </c>
    </row>
    <row r="315" spans="1:3" ht="26.4" x14ac:dyDescent="0.25">
      <c r="A315" s="81" t="s">
        <v>367</v>
      </c>
      <c r="B315" s="232" t="s">
        <v>702</v>
      </c>
      <c r="C315" s="459" t="s">
        <v>702</v>
      </c>
    </row>
    <row r="316" spans="1:3" ht="14.4" x14ac:dyDescent="0.25">
      <c r="A316" s="81" t="s">
        <v>367</v>
      </c>
      <c r="B316" s="252"/>
      <c r="C316" s="432"/>
    </row>
    <row r="317" spans="1:3" x14ac:dyDescent="0.25">
      <c r="A317" s="81" t="s">
        <v>367</v>
      </c>
      <c r="B317" s="231" t="s">
        <v>703</v>
      </c>
      <c r="C317" s="458" t="s">
        <v>703</v>
      </c>
    </row>
    <row r="318" spans="1:3" ht="52.8" x14ac:dyDescent="0.25">
      <c r="A318" s="81" t="s">
        <v>367</v>
      </c>
      <c r="B318" s="231" t="s">
        <v>704</v>
      </c>
      <c r="C318" s="458" t="s">
        <v>704</v>
      </c>
    </row>
    <row r="319" spans="1:3" ht="26.4" x14ac:dyDescent="0.25">
      <c r="A319" s="81" t="s">
        <v>367</v>
      </c>
      <c r="B319" s="232" t="s">
        <v>705</v>
      </c>
      <c r="C319" s="459" t="s">
        <v>705</v>
      </c>
    </row>
    <row r="320" spans="1:3" ht="39.6" x14ac:dyDescent="0.25">
      <c r="A320" s="81" t="s">
        <v>367</v>
      </c>
      <c r="B320" s="232" t="s">
        <v>706</v>
      </c>
      <c r="C320" s="459" t="s">
        <v>706</v>
      </c>
    </row>
    <row r="321" spans="1:3" ht="26.4" x14ac:dyDescent="0.25">
      <c r="A321" s="81" t="s">
        <v>367</v>
      </c>
      <c r="B321" s="232" t="s">
        <v>707</v>
      </c>
      <c r="C321" s="459" t="s">
        <v>707</v>
      </c>
    </row>
    <row r="322" spans="1:3" ht="34.799999999999997" x14ac:dyDescent="0.25">
      <c r="A322" s="81" t="s">
        <v>367</v>
      </c>
      <c r="B322" s="237" t="s">
        <v>708</v>
      </c>
      <c r="C322" s="457" t="s">
        <v>708</v>
      </c>
    </row>
    <row r="323" spans="1:3" x14ac:dyDescent="0.25">
      <c r="A323" s="81" t="s">
        <v>367</v>
      </c>
      <c r="B323" s="244" t="s">
        <v>709</v>
      </c>
      <c r="C323" s="459" t="s">
        <v>709</v>
      </c>
    </row>
    <row r="324" spans="1:3" ht="20.399999999999999" x14ac:dyDescent="0.25">
      <c r="A324" s="81" t="s">
        <v>367</v>
      </c>
      <c r="B324" s="248" t="s">
        <v>710</v>
      </c>
      <c r="C324" s="465" t="s">
        <v>710</v>
      </c>
    </row>
    <row r="325" spans="1:3" ht="13.8" thickBot="1" x14ac:dyDescent="0.3">
      <c r="A325" s="81" t="s">
        <v>367</v>
      </c>
      <c r="B325" s="248" t="s">
        <v>711</v>
      </c>
      <c r="C325" s="465" t="s">
        <v>711</v>
      </c>
    </row>
    <row r="326" spans="1:3" ht="13.8" thickBot="1" x14ac:dyDescent="0.3">
      <c r="A326" s="81" t="s">
        <v>367</v>
      </c>
      <c r="B326" s="260" t="s">
        <v>712</v>
      </c>
      <c r="C326" s="466" t="s">
        <v>712</v>
      </c>
    </row>
    <row r="327" spans="1:3" ht="13.8" thickBot="1" x14ac:dyDescent="0.3">
      <c r="A327" s="81" t="s">
        <v>367</v>
      </c>
      <c r="B327" s="261" t="s">
        <v>713</v>
      </c>
      <c r="C327" s="466" t="s">
        <v>713</v>
      </c>
    </row>
    <row r="328" spans="1:3" ht="39.6" x14ac:dyDescent="0.25">
      <c r="A328" s="81" t="s">
        <v>367</v>
      </c>
      <c r="B328" s="244" t="s">
        <v>714</v>
      </c>
      <c r="C328" s="459" t="s">
        <v>714</v>
      </c>
    </row>
    <row r="329" spans="1:3" ht="30.6" x14ac:dyDescent="0.25">
      <c r="A329" s="81" t="s">
        <v>367</v>
      </c>
      <c r="B329" s="256" t="s">
        <v>715</v>
      </c>
      <c r="C329" s="465" t="s">
        <v>715</v>
      </c>
    </row>
    <row r="330" spans="1:3" ht="39.6" x14ac:dyDescent="0.25">
      <c r="A330" s="81" t="s">
        <v>367</v>
      </c>
      <c r="B330" s="244" t="s">
        <v>716</v>
      </c>
      <c r="C330" s="459" t="s">
        <v>716</v>
      </c>
    </row>
    <row r="331" spans="1:3" ht="40.799999999999997" x14ac:dyDescent="0.25">
      <c r="A331" s="81" t="s">
        <v>367</v>
      </c>
      <c r="B331" s="256" t="s">
        <v>717</v>
      </c>
      <c r="C331" s="465" t="s">
        <v>717</v>
      </c>
    </row>
    <row r="332" spans="1:3" ht="39.6" x14ac:dyDescent="0.25">
      <c r="A332" s="81" t="s">
        <v>367</v>
      </c>
      <c r="B332" s="244" t="s">
        <v>718</v>
      </c>
      <c r="C332" s="459" t="s">
        <v>718</v>
      </c>
    </row>
    <row r="333" spans="1:3" ht="45.6" x14ac:dyDescent="0.25">
      <c r="A333" s="81" t="s">
        <v>367</v>
      </c>
      <c r="B333" s="275" t="s">
        <v>719</v>
      </c>
      <c r="C333" s="464" t="s">
        <v>719</v>
      </c>
    </row>
    <row r="334" spans="1:3" ht="46.2" thickBot="1" x14ac:dyDescent="0.3">
      <c r="A334" s="81" t="s">
        <v>367</v>
      </c>
      <c r="B334" s="275" t="s">
        <v>720</v>
      </c>
      <c r="C334" s="464" t="s">
        <v>720</v>
      </c>
    </row>
    <row r="335" spans="1:3" ht="13.8" thickBot="1" x14ac:dyDescent="0.3">
      <c r="A335" s="81" t="s">
        <v>367</v>
      </c>
      <c r="B335" s="276" t="s">
        <v>721</v>
      </c>
      <c r="C335" s="471" t="s">
        <v>722</v>
      </c>
    </row>
    <row r="336" spans="1:3" ht="13.8" thickBot="1" x14ac:dyDescent="0.3">
      <c r="A336" s="81" t="s">
        <v>367</v>
      </c>
      <c r="B336" s="277" t="s">
        <v>723</v>
      </c>
      <c r="C336" s="471" t="s">
        <v>724</v>
      </c>
    </row>
    <row r="337" spans="1:3" ht="13.8" thickBot="1" x14ac:dyDescent="0.3">
      <c r="A337" s="81" t="s">
        <v>367</v>
      </c>
      <c r="B337" s="277" t="s">
        <v>725</v>
      </c>
      <c r="C337" s="471" t="s">
        <v>726</v>
      </c>
    </row>
    <row r="338" spans="1:3" ht="13.8" thickBot="1" x14ac:dyDescent="0.3">
      <c r="A338" s="81" t="s">
        <v>367</v>
      </c>
      <c r="B338" s="277" t="s">
        <v>727</v>
      </c>
      <c r="C338" s="471" t="s">
        <v>728</v>
      </c>
    </row>
    <row r="339" spans="1:3" ht="13.8" thickBot="1" x14ac:dyDescent="0.3">
      <c r="A339" s="81" t="s">
        <v>367</v>
      </c>
      <c r="B339" s="278" t="s">
        <v>729</v>
      </c>
      <c r="C339" s="470" t="s">
        <v>730</v>
      </c>
    </row>
    <row r="340" spans="1:3" x14ac:dyDescent="0.25">
      <c r="A340" s="81" t="s">
        <v>367</v>
      </c>
      <c r="B340" s="279" t="s">
        <v>731</v>
      </c>
      <c r="C340" s="471" t="s">
        <v>732</v>
      </c>
    </row>
    <row r="341" spans="1:3" ht="39.6" x14ac:dyDescent="0.25">
      <c r="A341" s="81" t="s">
        <v>367</v>
      </c>
      <c r="B341" s="232" t="s">
        <v>733</v>
      </c>
      <c r="C341" s="459" t="s">
        <v>733</v>
      </c>
    </row>
    <row r="342" spans="1:3" ht="15.6" x14ac:dyDescent="0.25">
      <c r="A342" s="81" t="s">
        <v>367</v>
      </c>
      <c r="B342" s="247" t="s">
        <v>734</v>
      </c>
      <c r="C342" s="462" t="s">
        <v>734</v>
      </c>
    </row>
    <row r="343" spans="1:3" x14ac:dyDescent="0.25">
      <c r="A343" s="81" t="s">
        <v>367</v>
      </c>
      <c r="B343" s="244" t="s">
        <v>735</v>
      </c>
      <c r="C343" s="459" t="s">
        <v>735</v>
      </c>
    </row>
    <row r="344" spans="1:3" ht="20.399999999999999" x14ac:dyDescent="0.25">
      <c r="A344" s="81" t="s">
        <v>367</v>
      </c>
      <c r="B344" s="256" t="s">
        <v>736</v>
      </c>
      <c r="C344" s="465" t="s">
        <v>736</v>
      </c>
    </row>
    <row r="345" spans="1:3" ht="26.4" x14ac:dyDescent="0.25">
      <c r="A345" s="81" t="s">
        <v>367</v>
      </c>
      <c r="B345" s="244" t="s">
        <v>737</v>
      </c>
      <c r="C345" s="459" t="s">
        <v>737</v>
      </c>
    </row>
    <row r="346" spans="1:3" ht="20.399999999999999" x14ac:dyDescent="0.25">
      <c r="A346" s="81" t="s">
        <v>367</v>
      </c>
      <c r="B346" s="256" t="s">
        <v>738</v>
      </c>
      <c r="C346" s="465" t="s">
        <v>738</v>
      </c>
    </row>
    <row r="347" spans="1:3" ht="26.4" x14ac:dyDescent="0.25">
      <c r="A347" s="81" t="s">
        <v>367</v>
      </c>
      <c r="B347" s="244" t="s">
        <v>739</v>
      </c>
      <c r="C347" s="459" t="s">
        <v>739</v>
      </c>
    </row>
    <row r="348" spans="1:3" ht="30.6" x14ac:dyDescent="0.25">
      <c r="A348" s="81" t="s">
        <v>367</v>
      </c>
      <c r="B348" s="256" t="s">
        <v>740</v>
      </c>
      <c r="C348" s="465" t="s">
        <v>740</v>
      </c>
    </row>
    <row r="349" spans="1:3" x14ac:dyDescent="0.25">
      <c r="A349" s="81" t="s">
        <v>367</v>
      </c>
      <c r="B349" s="244" t="s">
        <v>741</v>
      </c>
      <c r="C349" s="459" t="s">
        <v>741</v>
      </c>
    </row>
    <row r="350" spans="1:3" ht="30.6" x14ac:dyDescent="0.25">
      <c r="A350" s="81" t="s">
        <v>367</v>
      </c>
      <c r="B350" s="256" t="s">
        <v>742</v>
      </c>
      <c r="C350" s="465" t="s">
        <v>742</v>
      </c>
    </row>
    <row r="351" spans="1:3" x14ac:dyDescent="0.25">
      <c r="A351" s="81" t="s">
        <v>367</v>
      </c>
      <c r="B351" s="244" t="s">
        <v>743</v>
      </c>
      <c r="C351" s="459" t="s">
        <v>743</v>
      </c>
    </row>
    <row r="352" spans="1:3" ht="20.399999999999999" x14ac:dyDescent="0.25">
      <c r="A352" s="81" t="s">
        <v>367</v>
      </c>
      <c r="B352" s="256" t="s">
        <v>744</v>
      </c>
      <c r="C352" s="465" t="s">
        <v>744</v>
      </c>
    </row>
    <row r="353" spans="1:3" x14ac:dyDescent="0.25">
      <c r="A353" s="81" t="s">
        <v>367</v>
      </c>
      <c r="B353" s="244" t="s">
        <v>745</v>
      </c>
      <c r="C353" s="459" t="s">
        <v>745</v>
      </c>
    </row>
    <row r="354" spans="1:3" ht="30.6" x14ac:dyDescent="0.25">
      <c r="A354" s="81" t="s">
        <v>367</v>
      </c>
      <c r="B354" s="256" t="s">
        <v>746</v>
      </c>
      <c r="C354" s="465" t="s">
        <v>746</v>
      </c>
    </row>
    <row r="355" spans="1:3" ht="39.6" x14ac:dyDescent="0.25">
      <c r="A355" s="81" t="s">
        <v>367</v>
      </c>
      <c r="B355" s="232" t="s">
        <v>747</v>
      </c>
      <c r="C355" s="459" t="s">
        <v>748</v>
      </c>
    </row>
    <row r="356" spans="1:3" ht="26.4" x14ac:dyDescent="0.25">
      <c r="A356" s="81" t="s">
        <v>367</v>
      </c>
      <c r="B356" s="232" t="s">
        <v>749</v>
      </c>
      <c r="C356" s="459" t="s">
        <v>750</v>
      </c>
    </row>
    <row r="357" spans="1:3" ht="39.6" x14ac:dyDescent="0.25">
      <c r="A357" s="81" t="s">
        <v>367</v>
      </c>
      <c r="B357" s="232" t="s">
        <v>751</v>
      </c>
      <c r="C357" s="459" t="s">
        <v>751</v>
      </c>
    </row>
    <row r="358" spans="1:3" ht="27" thickBot="1" x14ac:dyDescent="0.3">
      <c r="A358" s="81" t="s">
        <v>367</v>
      </c>
      <c r="B358" s="244" t="s">
        <v>752</v>
      </c>
      <c r="C358" s="459" t="s">
        <v>752</v>
      </c>
    </row>
    <row r="359" spans="1:3" ht="13.8" thickBot="1" x14ac:dyDescent="0.3">
      <c r="A359" s="81" t="s">
        <v>367</v>
      </c>
      <c r="B359" s="260" t="s">
        <v>753</v>
      </c>
      <c r="C359" s="466" t="s">
        <v>753</v>
      </c>
    </row>
    <row r="360" spans="1:3" ht="13.8" thickBot="1" x14ac:dyDescent="0.3">
      <c r="A360" s="81" t="s">
        <v>367</v>
      </c>
      <c r="B360" s="261" t="s">
        <v>754</v>
      </c>
      <c r="C360" s="466" t="s">
        <v>754</v>
      </c>
    </row>
    <row r="361" spans="1:3" ht="39.6" x14ac:dyDescent="0.25">
      <c r="A361" s="81" t="s">
        <v>367</v>
      </c>
      <c r="B361" s="244" t="s">
        <v>755</v>
      </c>
      <c r="C361" s="459" t="s">
        <v>755</v>
      </c>
    </row>
    <row r="362" spans="1:3" ht="30.6" x14ac:dyDescent="0.25">
      <c r="A362" s="81" t="s">
        <v>367</v>
      </c>
      <c r="B362" s="248" t="s">
        <v>756</v>
      </c>
      <c r="C362" s="465" t="s">
        <v>756</v>
      </c>
    </row>
    <row r="363" spans="1:3" ht="13.8" thickBot="1" x14ac:dyDescent="0.3">
      <c r="A363" s="81" t="s">
        <v>367</v>
      </c>
      <c r="B363" s="248" t="s">
        <v>757</v>
      </c>
      <c r="C363" s="465" t="s">
        <v>757</v>
      </c>
    </row>
    <row r="364" spans="1:3" ht="13.8" thickBot="1" x14ac:dyDescent="0.3">
      <c r="A364" s="81" t="s">
        <v>367</v>
      </c>
      <c r="B364" s="260" t="s">
        <v>758</v>
      </c>
      <c r="C364" s="466" t="s">
        <v>758</v>
      </c>
    </row>
    <row r="365" spans="1:3" ht="13.8" thickBot="1" x14ac:dyDescent="0.3">
      <c r="A365" s="81" t="s">
        <v>367</v>
      </c>
      <c r="B365" s="261" t="s">
        <v>759</v>
      </c>
      <c r="C365" s="466" t="s">
        <v>759</v>
      </c>
    </row>
    <row r="366" spans="1:3" ht="15.6" x14ac:dyDescent="0.25">
      <c r="A366" s="81">
        <v>365</v>
      </c>
      <c r="B366" s="247" t="s">
        <v>760</v>
      </c>
      <c r="C366" s="462" t="s">
        <v>760</v>
      </c>
    </row>
    <row r="367" spans="1:3" x14ac:dyDescent="0.25">
      <c r="A367" s="81">
        <v>366</v>
      </c>
      <c r="B367" s="232" t="s">
        <v>761</v>
      </c>
      <c r="C367" s="459" t="s">
        <v>761</v>
      </c>
    </row>
    <row r="368" spans="1:3" x14ac:dyDescent="0.25">
      <c r="A368" s="81">
        <v>367</v>
      </c>
      <c r="B368" s="280" t="s">
        <v>762</v>
      </c>
      <c r="C368" s="458" t="s">
        <v>762</v>
      </c>
    </row>
    <row r="369" spans="1:3" x14ac:dyDescent="0.25">
      <c r="A369" s="81">
        <v>368</v>
      </c>
      <c r="B369" s="280" t="s">
        <v>763</v>
      </c>
      <c r="C369" s="458" t="s">
        <v>763</v>
      </c>
    </row>
    <row r="370" spans="1:3" x14ac:dyDescent="0.25">
      <c r="A370" s="81">
        <v>369</v>
      </c>
      <c r="B370" s="280" t="s">
        <v>764</v>
      </c>
      <c r="C370" s="458" t="s">
        <v>764</v>
      </c>
    </row>
    <row r="371" spans="1:3" x14ac:dyDescent="0.25">
      <c r="A371" s="81">
        <v>370</v>
      </c>
      <c r="B371" s="280" t="s">
        <v>765</v>
      </c>
      <c r="C371" s="458" t="s">
        <v>765</v>
      </c>
    </row>
    <row r="372" spans="1:3" x14ac:dyDescent="0.25">
      <c r="A372" s="81">
        <v>371</v>
      </c>
      <c r="B372" s="280" t="s">
        <v>766</v>
      </c>
      <c r="C372" s="458" t="s">
        <v>766</v>
      </c>
    </row>
    <row r="373" spans="1:3" x14ac:dyDescent="0.25">
      <c r="A373" s="81">
        <v>372</v>
      </c>
      <c r="B373" s="280" t="s">
        <v>767</v>
      </c>
      <c r="C373" s="458" t="s">
        <v>767</v>
      </c>
    </row>
    <row r="374" spans="1:3" x14ac:dyDescent="0.25">
      <c r="A374" s="81">
        <v>373</v>
      </c>
      <c r="B374" s="280" t="s">
        <v>768</v>
      </c>
      <c r="C374" s="458" t="s">
        <v>768</v>
      </c>
    </row>
    <row r="375" spans="1:3" x14ac:dyDescent="0.25">
      <c r="A375" s="81">
        <v>374</v>
      </c>
      <c r="B375" s="280" t="s">
        <v>769</v>
      </c>
      <c r="C375" s="458" t="s">
        <v>769</v>
      </c>
    </row>
    <row r="376" spans="1:3" x14ac:dyDescent="0.25">
      <c r="A376" s="81">
        <v>375</v>
      </c>
      <c r="B376" s="280" t="s">
        <v>770</v>
      </c>
      <c r="C376" s="458" t="s">
        <v>770</v>
      </c>
    </row>
    <row r="377" spans="1:3" x14ac:dyDescent="0.25">
      <c r="A377" s="81">
        <v>376</v>
      </c>
      <c r="B377" s="280" t="s">
        <v>771</v>
      </c>
      <c r="C377" s="458" t="s">
        <v>771</v>
      </c>
    </row>
    <row r="378" spans="1:3" x14ac:dyDescent="0.25">
      <c r="A378" s="81">
        <v>377</v>
      </c>
      <c r="B378" s="280" t="s">
        <v>772</v>
      </c>
      <c r="C378" s="458" t="s">
        <v>772</v>
      </c>
    </row>
    <row r="379" spans="1:3" x14ac:dyDescent="0.25">
      <c r="A379" s="81">
        <v>378</v>
      </c>
      <c r="B379" s="280" t="s">
        <v>773</v>
      </c>
      <c r="C379" s="458" t="s">
        <v>773</v>
      </c>
    </row>
    <row r="380" spans="1:3" x14ac:dyDescent="0.25">
      <c r="A380" s="81">
        <v>379</v>
      </c>
      <c r="B380" s="280" t="s">
        <v>774</v>
      </c>
      <c r="C380" s="458" t="s">
        <v>774</v>
      </c>
    </row>
    <row r="381" spans="1:3" x14ac:dyDescent="0.25">
      <c r="A381" s="81">
        <v>380</v>
      </c>
      <c r="B381" s="280" t="s">
        <v>775</v>
      </c>
      <c r="C381" s="458" t="s">
        <v>775</v>
      </c>
    </row>
    <row r="382" spans="1:3" x14ac:dyDescent="0.25">
      <c r="A382" s="81">
        <v>381</v>
      </c>
      <c r="B382" s="280" t="s">
        <v>776</v>
      </c>
      <c r="C382" s="458" t="s">
        <v>776</v>
      </c>
    </row>
    <row r="383" spans="1:3" x14ac:dyDescent="0.25">
      <c r="A383" s="81">
        <v>382</v>
      </c>
      <c r="B383" s="280" t="s">
        <v>777</v>
      </c>
      <c r="C383" s="458" t="s">
        <v>777</v>
      </c>
    </row>
    <row r="384" spans="1:3" x14ac:dyDescent="0.25">
      <c r="A384" s="81">
        <v>383</v>
      </c>
      <c r="B384" s="280" t="s">
        <v>778</v>
      </c>
      <c r="C384" s="458" t="s">
        <v>778</v>
      </c>
    </row>
    <row r="385" spans="1:3" x14ac:dyDescent="0.25">
      <c r="A385" s="81">
        <v>384</v>
      </c>
      <c r="B385" s="280" t="s">
        <v>779</v>
      </c>
      <c r="C385" s="458" t="s">
        <v>779</v>
      </c>
    </row>
    <row r="386" spans="1:3" x14ac:dyDescent="0.25">
      <c r="A386" s="81">
        <v>385</v>
      </c>
      <c r="B386" s="280" t="s">
        <v>780</v>
      </c>
      <c r="C386" s="458" t="s">
        <v>780</v>
      </c>
    </row>
    <row r="387" spans="1:3" x14ac:dyDescent="0.25">
      <c r="A387" s="81">
        <v>386</v>
      </c>
      <c r="B387" s="280" t="s">
        <v>781</v>
      </c>
      <c r="C387" s="458" t="s">
        <v>781</v>
      </c>
    </row>
    <row r="388" spans="1:3" x14ac:dyDescent="0.25">
      <c r="A388" s="81">
        <v>387</v>
      </c>
      <c r="B388" s="280" t="s">
        <v>782</v>
      </c>
      <c r="C388" s="458" t="s">
        <v>782</v>
      </c>
    </row>
    <row r="389" spans="1:3" x14ac:dyDescent="0.25">
      <c r="A389" s="81">
        <v>388</v>
      </c>
      <c r="B389" s="280" t="s">
        <v>783</v>
      </c>
      <c r="C389" s="458" t="s">
        <v>783</v>
      </c>
    </row>
    <row r="390" spans="1:3" x14ac:dyDescent="0.25">
      <c r="A390" s="81">
        <v>389</v>
      </c>
      <c r="B390" s="280" t="s">
        <v>784</v>
      </c>
      <c r="C390" s="458" t="s">
        <v>784</v>
      </c>
    </row>
    <row r="391" spans="1:3" x14ac:dyDescent="0.25">
      <c r="A391" s="81">
        <v>390</v>
      </c>
      <c r="B391" s="280" t="s">
        <v>785</v>
      </c>
      <c r="C391" s="458" t="s">
        <v>785</v>
      </c>
    </row>
    <row r="392" spans="1:3" x14ac:dyDescent="0.25">
      <c r="A392" s="81">
        <v>391</v>
      </c>
      <c r="B392" s="280" t="s">
        <v>786</v>
      </c>
      <c r="C392" s="458" t="s">
        <v>786</v>
      </c>
    </row>
    <row r="393" spans="1:3" x14ac:dyDescent="0.25">
      <c r="A393" s="81">
        <v>392</v>
      </c>
      <c r="B393" s="280" t="s">
        <v>787</v>
      </c>
      <c r="C393" s="458" t="s">
        <v>787</v>
      </c>
    </row>
    <row r="394" spans="1:3" x14ac:dyDescent="0.25">
      <c r="A394" s="81">
        <v>393</v>
      </c>
      <c r="B394" s="280" t="s">
        <v>788</v>
      </c>
      <c r="C394" s="458" t="s">
        <v>788</v>
      </c>
    </row>
    <row r="395" spans="1:3" x14ac:dyDescent="0.25">
      <c r="A395" s="81">
        <v>394</v>
      </c>
      <c r="B395" s="280" t="s">
        <v>789</v>
      </c>
      <c r="C395" s="458" t="s">
        <v>789</v>
      </c>
    </row>
    <row r="396" spans="1:3" x14ac:dyDescent="0.25">
      <c r="A396" s="81">
        <v>395</v>
      </c>
      <c r="B396" s="280" t="s">
        <v>790</v>
      </c>
      <c r="C396" s="458" t="s">
        <v>790</v>
      </c>
    </row>
    <row r="397" spans="1:3" x14ac:dyDescent="0.25">
      <c r="A397" s="81">
        <v>396</v>
      </c>
      <c r="B397" s="280" t="s">
        <v>791</v>
      </c>
      <c r="C397" s="458" t="s">
        <v>791</v>
      </c>
    </row>
    <row r="398" spans="1:3" x14ac:dyDescent="0.25">
      <c r="A398" s="81">
        <v>397</v>
      </c>
      <c r="B398" s="280" t="s">
        <v>792</v>
      </c>
      <c r="C398" s="458" t="s">
        <v>792</v>
      </c>
    </row>
    <row r="399" spans="1:3" s="84" customFormat="1" ht="13.8" thickBot="1" x14ac:dyDescent="0.3">
      <c r="A399" s="81">
        <v>398</v>
      </c>
      <c r="B399" s="281" t="s">
        <v>793</v>
      </c>
      <c r="C399" s="458" t="s">
        <v>793</v>
      </c>
    </row>
    <row r="400" spans="1:3" x14ac:dyDescent="0.25">
      <c r="A400" s="83">
        <v>399</v>
      </c>
      <c r="B400" s="280" t="s">
        <v>794</v>
      </c>
      <c r="C400" s="458" t="s">
        <v>794</v>
      </c>
    </row>
    <row r="401" spans="1:3" x14ac:dyDescent="0.25">
      <c r="A401" s="81">
        <v>400</v>
      </c>
      <c r="B401" s="280" t="s">
        <v>795</v>
      </c>
      <c r="C401" s="458" t="s">
        <v>795</v>
      </c>
    </row>
    <row r="402" spans="1:3" x14ac:dyDescent="0.25">
      <c r="A402" s="81">
        <v>401</v>
      </c>
      <c r="B402" s="280" t="s">
        <v>796</v>
      </c>
      <c r="C402" s="458" t="s">
        <v>796</v>
      </c>
    </row>
    <row r="403" spans="1:3" x14ac:dyDescent="0.25">
      <c r="A403" s="81">
        <v>402</v>
      </c>
      <c r="B403" s="280" t="s">
        <v>797</v>
      </c>
      <c r="C403" s="458" t="s">
        <v>797</v>
      </c>
    </row>
    <row r="404" spans="1:3" x14ac:dyDescent="0.25">
      <c r="A404" s="81">
        <v>403</v>
      </c>
      <c r="B404" s="280" t="s">
        <v>798</v>
      </c>
      <c r="C404" s="458" t="s">
        <v>798</v>
      </c>
    </row>
    <row r="405" spans="1:3" x14ac:dyDescent="0.25">
      <c r="A405" s="81">
        <v>404</v>
      </c>
      <c r="B405" s="280" t="s">
        <v>799</v>
      </c>
      <c r="C405" s="458" t="s">
        <v>799</v>
      </c>
    </row>
    <row r="406" spans="1:3" x14ac:dyDescent="0.25">
      <c r="A406" s="81">
        <v>405</v>
      </c>
      <c r="B406" s="280" t="s">
        <v>800</v>
      </c>
      <c r="C406" s="458" t="s">
        <v>800</v>
      </c>
    </row>
    <row r="407" spans="1:3" x14ac:dyDescent="0.25">
      <c r="A407" s="81">
        <v>406</v>
      </c>
      <c r="B407" s="280" t="s">
        <v>801</v>
      </c>
      <c r="C407" s="458" t="s">
        <v>801</v>
      </c>
    </row>
    <row r="408" spans="1:3" x14ac:dyDescent="0.25">
      <c r="A408" s="81">
        <v>407</v>
      </c>
      <c r="B408" s="280" t="s">
        <v>802</v>
      </c>
      <c r="C408" s="458" t="s">
        <v>802</v>
      </c>
    </row>
    <row r="409" spans="1:3" x14ac:dyDescent="0.25">
      <c r="A409" s="81">
        <v>408</v>
      </c>
      <c r="B409" s="280" t="s">
        <v>803</v>
      </c>
      <c r="C409" s="458" t="s">
        <v>803</v>
      </c>
    </row>
    <row r="410" spans="1:3" x14ac:dyDescent="0.25">
      <c r="A410" s="81">
        <v>409</v>
      </c>
      <c r="B410" s="280" t="s">
        <v>804</v>
      </c>
      <c r="C410" s="458" t="s">
        <v>804</v>
      </c>
    </row>
    <row r="411" spans="1:3" x14ac:dyDescent="0.25">
      <c r="A411" s="81">
        <v>410</v>
      </c>
      <c r="B411" s="280" t="s">
        <v>805</v>
      </c>
      <c r="C411" s="458" t="s">
        <v>805</v>
      </c>
    </row>
    <row r="412" spans="1:3" x14ac:dyDescent="0.25">
      <c r="A412" s="81">
        <v>411</v>
      </c>
      <c r="B412" s="280" t="s">
        <v>806</v>
      </c>
      <c r="C412" s="458" t="s">
        <v>806</v>
      </c>
    </row>
    <row r="413" spans="1:3" x14ac:dyDescent="0.25">
      <c r="A413" s="81">
        <v>412</v>
      </c>
      <c r="B413" s="280" t="s">
        <v>807</v>
      </c>
      <c r="C413" s="458" t="s">
        <v>807</v>
      </c>
    </row>
    <row r="414" spans="1:3" x14ac:dyDescent="0.25">
      <c r="A414" s="81">
        <v>413</v>
      </c>
      <c r="B414" s="280" t="s">
        <v>808</v>
      </c>
      <c r="C414" s="458" t="s">
        <v>808</v>
      </c>
    </row>
    <row r="415" spans="1:3" x14ac:dyDescent="0.25">
      <c r="A415" s="81">
        <v>414</v>
      </c>
      <c r="B415" s="280" t="s">
        <v>809</v>
      </c>
      <c r="C415" s="458" t="s">
        <v>809</v>
      </c>
    </row>
    <row r="416" spans="1:3" x14ac:dyDescent="0.25">
      <c r="A416" s="81">
        <v>415</v>
      </c>
      <c r="B416" s="280" t="s">
        <v>810</v>
      </c>
      <c r="C416" s="458" t="s">
        <v>810</v>
      </c>
    </row>
    <row r="417" spans="1:3" x14ac:dyDescent="0.25">
      <c r="A417" s="81">
        <v>416</v>
      </c>
      <c r="B417" s="280" t="s">
        <v>811</v>
      </c>
      <c r="C417" s="458" t="s">
        <v>811</v>
      </c>
    </row>
    <row r="418" spans="1:3" x14ac:dyDescent="0.25">
      <c r="A418" s="81">
        <v>417</v>
      </c>
      <c r="B418" s="280" t="s">
        <v>812</v>
      </c>
      <c r="C418" s="458" t="s">
        <v>812</v>
      </c>
    </row>
    <row r="419" spans="1:3" x14ac:dyDescent="0.25">
      <c r="A419" s="81">
        <v>418</v>
      </c>
      <c r="B419" s="280" t="s">
        <v>813</v>
      </c>
      <c r="C419" s="458" t="s">
        <v>813</v>
      </c>
    </row>
    <row r="420" spans="1:3" x14ac:dyDescent="0.25">
      <c r="A420" s="81">
        <v>419</v>
      </c>
      <c r="B420" s="280" t="s">
        <v>814</v>
      </c>
      <c r="C420" s="458" t="s">
        <v>814</v>
      </c>
    </row>
    <row r="421" spans="1:3" x14ac:dyDescent="0.25">
      <c r="A421" s="81">
        <v>420</v>
      </c>
      <c r="B421" s="280" t="s">
        <v>815</v>
      </c>
      <c r="C421" s="458" t="s">
        <v>815</v>
      </c>
    </row>
    <row r="422" spans="1:3" ht="14.4" x14ac:dyDescent="0.25">
      <c r="A422" s="81">
        <v>421</v>
      </c>
      <c r="B422" s="282" t="s">
        <v>816</v>
      </c>
      <c r="C422" s="432" t="s">
        <v>816</v>
      </c>
    </row>
    <row r="423" spans="1:3" x14ac:dyDescent="0.25">
      <c r="A423" s="81">
        <v>422</v>
      </c>
      <c r="B423" s="280" t="s">
        <v>817</v>
      </c>
      <c r="C423" s="458" t="s">
        <v>817</v>
      </c>
    </row>
    <row r="424" spans="1:3" x14ac:dyDescent="0.25">
      <c r="A424" s="81">
        <v>423</v>
      </c>
      <c r="B424" s="280" t="s">
        <v>818</v>
      </c>
      <c r="C424" s="458" t="s">
        <v>818</v>
      </c>
    </row>
    <row r="425" spans="1:3" x14ac:dyDescent="0.25">
      <c r="A425" s="81">
        <v>424</v>
      </c>
      <c r="B425" s="280" t="s">
        <v>819</v>
      </c>
      <c r="C425" s="458" t="s">
        <v>819</v>
      </c>
    </row>
    <row r="426" spans="1:3" ht="14.4" x14ac:dyDescent="0.25">
      <c r="A426" s="81">
        <v>425</v>
      </c>
      <c r="B426" s="282" t="s">
        <v>820</v>
      </c>
      <c r="C426" s="432" t="s">
        <v>820</v>
      </c>
    </row>
    <row r="427" spans="1:3" x14ac:dyDescent="0.25">
      <c r="A427" s="81">
        <v>426</v>
      </c>
      <c r="B427" s="280" t="s">
        <v>821</v>
      </c>
      <c r="C427" s="458" t="s">
        <v>821</v>
      </c>
    </row>
    <row r="428" spans="1:3" x14ac:dyDescent="0.25">
      <c r="A428" s="81">
        <v>427</v>
      </c>
      <c r="B428" s="280" t="s">
        <v>822</v>
      </c>
      <c r="C428" s="458" t="s">
        <v>822</v>
      </c>
    </row>
    <row r="429" spans="1:3" x14ac:dyDescent="0.25">
      <c r="A429" s="81">
        <v>428</v>
      </c>
      <c r="B429" s="280" t="s">
        <v>823</v>
      </c>
      <c r="C429" s="458" t="s">
        <v>823</v>
      </c>
    </row>
    <row r="430" spans="1:3" x14ac:dyDescent="0.25">
      <c r="A430" s="81">
        <v>429</v>
      </c>
      <c r="B430" s="280" t="s">
        <v>824</v>
      </c>
      <c r="C430" s="458" t="s">
        <v>824</v>
      </c>
    </row>
    <row r="431" spans="1:3" x14ac:dyDescent="0.25">
      <c r="A431" s="81">
        <v>430</v>
      </c>
      <c r="B431" s="280" t="s">
        <v>825</v>
      </c>
      <c r="C431" s="458" t="s">
        <v>825</v>
      </c>
    </row>
    <row r="432" spans="1:3" x14ac:dyDescent="0.25">
      <c r="A432" s="81">
        <v>431</v>
      </c>
      <c r="B432" s="280" t="s">
        <v>826</v>
      </c>
      <c r="C432" s="458" t="s">
        <v>826</v>
      </c>
    </row>
    <row r="433" spans="1:3" x14ac:dyDescent="0.25">
      <c r="A433" s="81">
        <v>432</v>
      </c>
      <c r="B433" s="280" t="s">
        <v>827</v>
      </c>
      <c r="C433" s="458" t="s">
        <v>827</v>
      </c>
    </row>
    <row r="434" spans="1:3" x14ac:dyDescent="0.25">
      <c r="A434" s="81">
        <v>433</v>
      </c>
      <c r="B434" s="280" t="s">
        <v>828</v>
      </c>
      <c r="C434" s="458" t="s">
        <v>828</v>
      </c>
    </row>
    <row r="435" spans="1:3" x14ac:dyDescent="0.25">
      <c r="A435" s="81">
        <v>434</v>
      </c>
      <c r="B435" s="280" t="s">
        <v>829</v>
      </c>
      <c r="C435" s="458" t="s">
        <v>829</v>
      </c>
    </row>
    <row r="436" spans="1:3" x14ac:dyDescent="0.25">
      <c r="A436" s="81">
        <v>435</v>
      </c>
      <c r="B436" s="280" t="s">
        <v>830</v>
      </c>
      <c r="C436" s="458" t="s">
        <v>830</v>
      </c>
    </row>
    <row r="437" spans="1:3" x14ac:dyDescent="0.25">
      <c r="A437" s="81">
        <v>436</v>
      </c>
      <c r="B437" s="280" t="s">
        <v>831</v>
      </c>
      <c r="C437" s="458" t="s">
        <v>831</v>
      </c>
    </row>
    <row r="438" spans="1:3" x14ac:dyDescent="0.25">
      <c r="A438" s="81">
        <v>437</v>
      </c>
      <c r="B438" s="280" t="s">
        <v>832</v>
      </c>
      <c r="C438" s="458" t="s">
        <v>832</v>
      </c>
    </row>
    <row r="439" spans="1:3" x14ac:dyDescent="0.25">
      <c r="A439" s="81">
        <v>438</v>
      </c>
      <c r="B439" s="280" t="s">
        <v>833</v>
      </c>
      <c r="C439" s="458" t="s">
        <v>833</v>
      </c>
    </row>
    <row r="440" spans="1:3" ht="14.4" x14ac:dyDescent="0.25">
      <c r="A440" s="81">
        <v>439</v>
      </c>
      <c r="B440" s="282" t="s">
        <v>834</v>
      </c>
      <c r="C440" s="432" t="s">
        <v>834</v>
      </c>
    </row>
    <row r="441" spans="1:3" ht="14.4" x14ac:dyDescent="0.25">
      <c r="A441" s="81">
        <v>440</v>
      </c>
      <c r="B441" s="282" t="s">
        <v>835</v>
      </c>
      <c r="C441" s="432" t="s">
        <v>835</v>
      </c>
    </row>
    <row r="442" spans="1:3" x14ac:dyDescent="0.25">
      <c r="A442" s="81">
        <v>441</v>
      </c>
      <c r="B442" s="280" t="s">
        <v>836</v>
      </c>
      <c r="C442" s="458" t="s">
        <v>836</v>
      </c>
    </row>
    <row r="443" spans="1:3" x14ac:dyDescent="0.25">
      <c r="A443" s="81">
        <v>442</v>
      </c>
      <c r="B443" s="280" t="s">
        <v>837</v>
      </c>
      <c r="C443" s="458" t="s">
        <v>837</v>
      </c>
    </row>
    <row r="444" spans="1:3" x14ac:dyDescent="0.25">
      <c r="A444" s="81">
        <v>443</v>
      </c>
      <c r="B444" s="280" t="s">
        <v>838</v>
      </c>
      <c r="C444" s="458" t="s">
        <v>838</v>
      </c>
    </row>
    <row r="445" spans="1:3" x14ac:dyDescent="0.25">
      <c r="A445" s="81">
        <v>444</v>
      </c>
      <c r="B445" s="280" t="s">
        <v>839</v>
      </c>
      <c r="C445" s="458" t="s">
        <v>839</v>
      </c>
    </row>
    <row r="446" spans="1:3" x14ac:dyDescent="0.25">
      <c r="A446" s="81">
        <v>445</v>
      </c>
      <c r="B446" s="280" t="s">
        <v>840</v>
      </c>
      <c r="C446" s="458" t="s">
        <v>840</v>
      </c>
    </row>
    <row r="447" spans="1:3" x14ac:dyDescent="0.25">
      <c r="A447" s="81">
        <v>446</v>
      </c>
      <c r="B447" s="280" t="s">
        <v>841</v>
      </c>
      <c r="C447" s="458" t="s">
        <v>841</v>
      </c>
    </row>
    <row r="448" spans="1:3" x14ac:dyDescent="0.25">
      <c r="A448" s="81">
        <v>447</v>
      </c>
      <c r="B448" s="280" t="s">
        <v>842</v>
      </c>
      <c r="C448" s="458" t="s">
        <v>842</v>
      </c>
    </row>
    <row r="449" spans="1:3" ht="14.4" x14ac:dyDescent="0.25">
      <c r="A449" s="81">
        <v>448</v>
      </c>
      <c r="B449" s="282" t="s">
        <v>843</v>
      </c>
      <c r="C449" s="432" t="s">
        <v>843</v>
      </c>
    </row>
    <row r="450" spans="1:3" ht="14.4" x14ac:dyDescent="0.25">
      <c r="A450" s="81">
        <v>449</v>
      </c>
      <c r="B450" s="282" t="s">
        <v>844</v>
      </c>
      <c r="C450" s="432" t="s">
        <v>844</v>
      </c>
    </row>
    <row r="451" spans="1:3" x14ac:dyDescent="0.25">
      <c r="A451" s="81">
        <v>450</v>
      </c>
      <c r="B451" s="280" t="s">
        <v>845</v>
      </c>
      <c r="C451" s="458" t="s">
        <v>845</v>
      </c>
    </row>
    <row r="452" spans="1:3" x14ac:dyDescent="0.25">
      <c r="A452" s="81">
        <v>451</v>
      </c>
      <c r="B452" s="280" t="s">
        <v>846</v>
      </c>
      <c r="C452" s="458" t="s">
        <v>846</v>
      </c>
    </row>
    <row r="453" spans="1:3" x14ac:dyDescent="0.25">
      <c r="A453" s="81">
        <v>452</v>
      </c>
      <c r="B453" s="280" t="s">
        <v>847</v>
      </c>
      <c r="C453" s="458" t="s">
        <v>847</v>
      </c>
    </row>
    <row r="454" spans="1:3" x14ac:dyDescent="0.25">
      <c r="A454" s="81">
        <v>453</v>
      </c>
      <c r="B454" s="280" t="s">
        <v>848</v>
      </c>
      <c r="C454" s="458" t="s">
        <v>848</v>
      </c>
    </row>
    <row r="455" spans="1:3" x14ac:dyDescent="0.25">
      <c r="A455" s="81">
        <v>454</v>
      </c>
      <c r="B455" s="280" t="s">
        <v>849</v>
      </c>
      <c r="C455" s="458" t="s">
        <v>849</v>
      </c>
    </row>
    <row r="456" spans="1:3" x14ac:dyDescent="0.25">
      <c r="A456" s="81">
        <v>455</v>
      </c>
      <c r="B456" s="280" t="s">
        <v>850</v>
      </c>
      <c r="C456" s="458" t="s">
        <v>850</v>
      </c>
    </row>
    <row r="457" spans="1:3" x14ac:dyDescent="0.25">
      <c r="A457" s="81">
        <v>456</v>
      </c>
      <c r="B457" s="280" t="s">
        <v>851</v>
      </c>
      <c r="C457" s="458" t="s">
        <v>851</v>
      </c>
    </row>
    <row r="458" spans="1:3" x14ac:dyDescent="0.25">
      <c r="A458" s="81">
        <v>457</v>
      </c>
      <c r="B458" s="280" t="s">
        <v>852</v>
      </c>
      <c r="C458" s="458" t="s">
        <v>852</v>
      </c>
    </row>
    <row r="459" spans="1:3" x14ac:dyDescent="0.25">
      <c r="A459" s="81">
        <v>458</v>
      </c>
      <c r="B459" s="280" t="s">
        <v>853</v>
      </c>
      <c r="C459" s="458" t="s">
        <v>853</v>
      </c>
    </row>
    <row r="460" spans="1:3" ht="14.4" x14ac:dyDescent="0.25">
      <c r="A460" s="81">
        <v>459</v>
      </c>
      <c r="B460" s="282" t="s">
        <v>854</v>
      </c>
      <c r="C460" s="432" t="s">
        <v>854</v>
      </c>
    </row>
    <row r="461" spans="1:3" x14ac:dyDescent="0.25">
      <c r="A461" s="81">
        <v>460</v>
      </c>
      <c r="B461" s="280" t="s">
        <v>855</v>
      </c>
      <c r="C461" s="458" t="s">
        <v>855</v>
      </c>
    </row>
    <row r="462" spans="1:3" x14ac:dyDescent="0.25">
      <c r="A462" s="81">
        <v>461</v>
      </c>
      <c r="B462" s="280" t="s">
        <v>856</v>
      </c>
      <c r="C462" s="458" t="s">
        <v>856</v>
      </c>
    </row>
    <row r="463" spans="1:3" x14ac:dyDescent="0.25">
      <c r="A463" s="81" t="s">
        <v>367</v>
      </c>
      <c r="B463" s="280" t="s">
        <v>857</v>
      </c>
      <c r="C463" s="458" t="s">
        <v>857</v>
      </c>
    </row>
    <row r="464" spans="1:3" x14ac:dyDescent="0.25">
      <c r="A464" s="81">
        <v>463</v>
      </c>
      <c r="B464" s="280" t="s">
        <v>858</v>
      </c>
      <c r="C464" s="458" t="s">
        <v>858</v>
      </c>
    </row>
    <row r="465" spans="1:3" x14ac:dyDescent="0.25">
      <c r="A465" s="81">
        <v>464</v>
      </c>
      <c r="B465" s="280" t="s">
        <v>859</v>
      </c>
      <c r="C465" s="458" t="s">
        <v>859</v>
      </c>
    </row>
    <row r="466" spans="1:3" x14ac:dyDescent="0.25">
      <c r="A466" s="81">
        <v>465</v>
      </c>
      <c r="B466" s="280" t="s">
        <v>860</v>
      </c>
      <c r="C466" s="458" t="s">
        <v>860</v>
      </c>
    </row>
    <row r="467" spans="1:3" x14ac:dyDescent="0.25">
      <c r="A467" s="81">
        <v>466</v>
      </c>
      <c r="B467" s="280" t="s">
        <v>861</v>
      </c>
      <c r="C467" s="458" t="s">
        <v>861</v>
      </c>
    </row>
    <row r="468" spans="1:3" x14ac:dyDescent="0.25">
      <c r="A468" s="81">
        <v>467</v>
      </c>
      <c r="B468" s="280" t="s">
        <v>862</v>
      </c>
      <c r="C468" s="458" t="s">
        <v>862</v>
      </c>
    </row>
    <row r="469" spans="1:3" x14ac:dyDescent="0.25">
      <c r="A469" s="81">
        <v>468</v>
      </c>
      <c r="B469" s="280" t="s">
        <v>863</v>
      </c>
      <c r="C469" s="458" t="s">
        <v>863</v>
      </c>
    </row>
    <row r="470" spans="1:3" x14ac:dyDescent="0.25">
      <c r="A470" s="81">
        <v>469</v>
      </c>
      <c r="B470" s="280" t="s">
        <v>864</v>
      </c>
      <c r="C470" s="458" t="s">
        <v>864</v>
      </c>
    </row>
    <row r="471" spans="1:3" x14ac:dyDescent="0.25">
      <c r="A471" s="81">
        <v>470</v>
      </c>
      <c r="B471" s="280" t="s">
        <v>865</v>
      </c>
      <c r="C471" s="458" t="s">
        <v>865</v>
      </c>
    </row>
    <row r="472" spans="1:3" x14ac:dyDescent="0.25">
      <c r="A472" s="81" t="s">
        <v>367</v>
      </c>
      <c r="B472" s="280" t="s">
        <v>866</v>
      </c>
      <c r="C472" s="458" t="s">
        <v>866</v>
      </c>
    </row>
    <row r="473" spans="1:3" x14ac:dyDescent="0.25">
      <c r="A473" s="81">
        <v>472</v>
      </c>
      <c r="B473" s="280" t="s">
        <v>867</v>
      </c>
      <c r="C473" s="458" t="s">
        <v>867</v>
      </c>
    </row>
    <row r="474" spans="1:3" x14ac:dyDescent="0.25">
      <c r="A474" s="81">
        <v>473</v>
      </c>
      <c r="B474" s="280" t="s">
        <v>868</v>
      </c>
      <c r="C474" s="458" t="s">
        <v>868</v>
      </c>
    </row>
    <row r="475" spans="1:3" x14ac:dyDescent="0.25">
      <c r="A475" s="81">
        <v>474</v>
      </c>
      <c r="B475" s="280" t="s">
        <v>869</v>
      </c>
      <c r="C475" s="458" t="s">
        <v>869</v>
      </c>
    </row>
    <row r="476" spans="1:3" x14ac:dyDescent="0.25">
      <c r="A476" s="81">
        <v>475</v>
      </c>
      <c r="B476" s="280" t="s">
        <v>870</v>
      </c>
      <c r="C476" s="458" t="s">
        <v>870</v>
      </c>
    </row>
    <row r="477" spans="1:3" x14ac:dyDescent="0.25">
      <c r="A477" s="81">
        <v>476</v>
      </c>
      <c r="B477" s="280" t="s">
        <v>871</v>
      </c>
      <c r="C477" s="458" t="s">
        <v>871</v>
      </c>
    </row>
    <row r="478" spans="1:3" x14ac:dyDescent="0.25">
      <c r="A478" s="81">
        <v>477</v>
      </c>
      <c r="B478" s="280" t="s">
        <v>872</v>
      </c>
      <c r="C478" s="458" t="s">
        <v>872</v>
      </c>
    </row>
    <row r="479" spans="1:3" x14ac:dyDescent="0.25">
      <c r="A479" s="81">
        <v>478</v>
      </c>
      <c r="B479" s="280" t="s">
        <v>873</v>
      </c>
      <c r="C479" s="458" t="s">
        <v>873</v>
      </c>
    </row>
    <row r="480" spans="1:3" ht="14.4" x14ac:dyDescent="0.25">
      <c r="A480" s="81">
        <v>479</v>
      </c>
      <c r="B480" s="282" t="s">
        <v>874</v>
      </c>
      <c r="C480" s="432" t="s">
        <v>874</v>
      </c>
    </row>
    <row r="481" spans="1:3" x14ac:dyDescent="0.25">
      <c r="A481" s="81">
        <v>480</v>
      </c>
      <c r="B481" s="280" t="s">
        <v>875</v>
      </c>
      <c r="C481" s="458" t="s">
        <v>875</v>
      </c>
    </row>
    <row r="482" spans="1:3" x14ac:dyDescent="0.25">
      <c r="A482" s="81">
        <v>481</v>
      </c>
      <c r="B482" s="280" t="s">
        <v>876</v>
      </c>
      <c r="C482" s="458" t="s">
        <v>876</v>
      </c>
    </row>
    <row r="483" spans="1:3" x14ac:dyDescent="0.25">
      <c r="A483" s="81">
        <v>482</v>
      </c>
      <c r="B483" s="280" t="s">
        <v>877</v>
      </c>
      <c r="C483" s="458" t="s">
        <v>877</v>
      </c>
    </row>
    <row r="484" spans="1:3" x14ac:dyDescent="0.25">
      <c r="A484" s="81">
        <v>483</v>
      </c>
      <c r="B484" s="280" t="s">
        <v>878</v>
      </c>
      <c r="C484" s="458" t="s">
        <v>878</v>
      </c>
    </row>
    <row r="485" spans="1:3" x14ac:dyDescent="0.25">
      <c r="A485" s="81">
        <v>484</v>
      </c>
      <c r="B485" s="280" t="s">
        <v>879</v>
      </c>
      <c r="C485" s="458" t="s">
        <v>879</v>
      </c>
    </row>
    <row r="486" spans="1:3" x14ac:dyDescent="0.25">
      <c r="A486" s="81">
        <v>485</v>
      </c>
      <c r="B486" s="280" t="s">
        <v>880</v>
      </c>
      <c r="C486" s="458" t="s">
        <v>880</v>
      </c>
    </row>
    <row r="487" spans="1:3" x14ac:dyDescent="0.25">
      <c r="A487" s="81">
        <v>486</v>
      </c>
      <c r="B487" s="280" t="s">
        <v>881</v>
      </c>
      <c r="C487" s="458" t="s">
        <v>881</v>
      </c>
    </row>
    <row r="488" spans="1:3" x14ac:dyDescent="0.25">
      <c r="A488" s="81">
        <v>487</v>
      </c>
      <c r="B488" s="280" t="s">
        <v>882</v>
      </c>
      <c r="C488" s="458" t="s">
        <v>882</v>
      </c>
    </row>
    <row r="489" spans="1:3" x14ac:dyDescent="0.25">
      <c r="A489" s="81">
        <v>488</v>
      </c>
      <c r="B489" s="280" t="s">
        <v>883</v>
      </c>
      <c r="C489" s="458" t="s">
        <v>883</v>
      </c>
    </row>
    <row r="490" spans="1:3" x14ac:dyDescent="0.25">
      <c r="A490" s="81">
        <v>489</v>
      </c>
      <c r="B490" s="280" t="s">
        <v>884</v>
      </c>
      <c r="C490" s="458" t="s">
        <v>884</v>
      </c>
    </row>
    <row r="491" spans="1:3" x14ac:dyDescent="0.25">
      <c r="A491" s="81">
        <v>490</v>
      </c>
      <c r="B491" s="280" t="s">
        <v>885</v>
      </c>
      <c r="C491" s="458" t="s">
        <v>885</v>
      </c>
    </row>
    <row r="492" spans="1:3" x14ac:dyDescent="0.25">
      <c r="A492" s="81">
        <v>491</v>
      </c>
      <c r="B492" s="280" t="s">
        <v>886</v>
      </c>
      <c r="C492" s="458" t="s">
        <v>886</v>
      </c>
    </row>
    <row r="493" spans="1:3" x14ac:dyDescent="0.25">
      <c r="A493" s="81">
        <v>492</v>
      </c>
      <c r="B493" s="280" t="s">
        <v>887</v>
      </c>
      <c r="C493" s="458" t="s">
        <v>887</v>
      </c>
    </row>
    <row r="494" spans="1:3" x14ac:dyDescent="0.25">
      <c r="A494" s="81">
        <v>493</v>
      </c>
      <c r="B494" s="280" t="s">
        <v>888</v>
      </c>
      <c r="C494" s="458" t="s">
        <v>888</v>
      </c>
    </row>
    <row r="495" spans="1:3" x14ac:dyDescent="0.25">
      <c r="A495" s="81">
        <v>494</v>
      </c>
      <c r="B495" s="280" t="s">
        <v>889</v>
      </c>
      <c r="C495" s="458" t="s">
        <v>889</v>
      </c>
    </row>
    <row r="496" spans="1:3" x14ac:dyDescent="0.25">
      <c r="A496" s="81">
        <v>495</v>
      </c>
      <c r="B496" s="280" t="s">
        <v>890</v>
      </c>
      <c r="C496" s="458" t="s">
        <v>890</v>
      </c>
    </row>
    <row r="497" spans="1:3" x14ac:dyDescent="0.25">
      <c r="A497" s="81">
        <v>496</v>
      </c>
      <c r="B497" s="280" t="s">
        <v>891</v>
      </c>
      <c r="C497" s="458" t="s">
        <v>891</v>
      </c>
    </row>
    <row r="498" spans="1:3" x14ac:dyDescent="0.25">
      <c r="A498" s="81">
        <v>497</v>
      </c>
      <c r="B498" s="280" t="s">
        <v>892</v>
      </c>
      <c r="C498" s="458" t="s">
        <v>892</v>
      </c>
    </row>
    <row r="499" spans="1:3" x14ac:dyDescent="0.25">
      <c r="A499" s="81">
        <v>498</v>
      </c>
      <c r="B499" s="280" t="s">
        <v>893</v>
      </c>
      <c r="C499" s="458" t="s">
        <v>893</v>
      </c>
    </row>
    <row r="500" spans="1:3" x14ac:dyDescent="0.25">
      <c r="A500" s="81">
        <v>499</v>
      </c>
      <c r="B500" s="280" t="s">
        <v>894</v>
      </c>
      <c r="C500" s="458" t="s">
        <v>894</v>
      </c>
    </row>
    <row r="501" spans="1:3" ht="14.4" x14ac:dyDescent="0.25">
      <c r="A501" s="81">
        <v>500</v>
      </c>
      <c r="B501" s="282" t="s">
        <v>895</v>
      </c>
      <c r="C501" s="432" t="s">
        <v>895</v>
      </c>
    </row>
    <row r="502" spans="1:3" x14ac:dyDescent="0.25">
      <c r="A502" s="81">
        <v>501</v>
      </c>
      <c r="B502" s="280" t="s">
        <v>896</v>
      </c>
      <c r="C502" s="458" t="s">
        <v>896</v>
      </c>
    </row>
    <row r="503" spans="1:3" x14ac:dyDescent="0.25">
      <c r="A503" s="81">
        <v>502</v>
      </c>
      <c r="B503" s="280" t="s">
        <v>897</v>
      </c>
      <c r="C503" s="458" t="s">
        <v>897</v>
      </c>
    </row>
    <row r="504" spans="1:3" x14ac:dyDescent="0.25">
      <c r="A504" s="81">
        <v>503</v>
      </c>
      <c r="B504" s="280" t="s">
        <v>898</v>
      </c>
      <c r="C504" s="458" t="s">
        <v>898</v>
      </c>
    </row>
    <row r="505" spans="1:3" x14ac:dyDescent="0.25">
      <c r="A505" s="81">
        <v>504</v>
      </c>
      <c r="B505" s="280" t="s">
        <v>899</v>
      </c>
      <c r="C505" s="458" t="s">
        <v>899</v>
      </c>
    </row>
    <row r="506" spans="1:3" x14ac:dyDescent="0.25">
      <c r="A506" s="81">
        <v>505</v>
      </c>
      <c r="B506" s="280" t="s">
        <v>900</v>
      </c>
      <c r="C506" s="458" t="s">
        <v>900</v>
      </c>
    </row>
    <row r="507" spans="1:3" x14ac:dyDescent="0.25">
      <c r="A507" s="81">
        <v>506</v>
      </c>
      <c r="B507" s="280" t="s">
        <v>901</v>
      </c>
      <c r="C507" s="458" t="s">
        <v>901</v>
      </c>
    </row>
    <row r="508" spans="1:3" x14ac:dyDescent="0.25">
      <c r="A508" s="81" t="s">
        <v>367</v>
      </c>
      <c r="B508" s="280" t="s">
        <v>902</v>
      </c>
      <c r="C508" s="458" t="s">
        <v>902</v>
      </c>
    </row>
    <row r="509" spans="1:3" x14ac:dyDescent="0.25">
      <c r="A509" s="81">
        <v>508</v>
      </c>
      <c r="B509" s="280" t="s">
        <v>903</v>
      </c>
      <c r="C509" s="458" t="s">
        <v>903</v>
      </c>
    </row>
    <row r="510" spans="1:3" x14ac:dyDescent="0.25">
      <c r="A510" s="81">
        <v>509</v>
      </c>
      <c r="B510" s="280" t="s">
        <v>904</v>
      </c>
      <c r="C510" s="458" t="s">
        <v>904</v>
      </c>
    </row>
    <row r="511" spans="1:3" x14ac:dyDescent="0.25">
      <c r="A511" s="81">
        <v>510</v>
      </c>
      <c r="B511" s="280" t="s">
        <v>905</v>
      </c>
      <c r="C511" s="458" t="s">
        <v>905</v>
      </c>
    </row>
    <row r="512" spans="1:3" x14ac:dyDescent="0.25">
      <c r="A512" s="81">
        <v>511</v>
      </c>
      <c r="B512" s="280" t="s">
        <v>906</v>
      </c>
      <c r="C512" s="458" t="s">
        <v>906</v>
      </c>
    </row>
    <row r="513" spans="1:3" x14ac:dyDescent="0.25">
      <c r="A513" s="81">
        <v>512</v>
      </c>
      <c r="B513" s="280" t="s">
        <v>907</v>
      </c>
      <c r="C513" s="458" t="s">
        <v>907</v>
      </c>
    </row>
    <row r="514" spans="1:3" x14ac:dyDescent="0.25">
      <c r="A514" s="81">
        <v>513</v>
      </c>
      <c r="B514" s="280" t="s">
        <v>908</v>
      </c>
      <c r="C514" s="458" t="s">
        <v>908</v>
      </c>
    </row>
    <row r="515" spans="1:3" x14ac:dyDescent="0.25">
      <c r="A515" s="81">
        <v>514</v>
      </c>
      <c r="B515" s="280" t="s">
        <v>909</v>
      </c>
      <c r="C515" s="458" t="s">
        <v>909</v>
      </c>
    </row>
    <row r="516" spans="1:3" x14ac:dyDescent="0.25">
      <c r="A516" s="81">
        <v>515</v>
      </c>
      <c r="B516" s="280" t="s">
        <v>910</v>
      </c>
      <c r="C516" s="458" t="s">
        <v>910</v>
      </c>
    </row>
    <row r="517" spans="1:3" x14ac:dyDescent="0.25">
      <c r="A517" s="81">
        <v>516</v>
      </c>
      <c r="B517" s="280" t="s">
        <v>911</v>
      </c>
      <c r="C517" s="458" t="s">
        <v>911</v>
      </c>
    </row>
    <row r="518" spans="1:3" x14ac:dyDescent="0.25">
      <c r="A518" s="81">
        <v>517</v>
      </c>
      <c r="B518" s="280" t="s">
        <v>912</v>
      </c>
      <c r="C518" s="458" t="s">
        <v>912</v>
      </c>
    </row>
    <row r="519" spans="1:3" x14ac:dyDescent="0.25">
      <c r="A519" s="81">
        <v>518</v>
      </c>
      <c r="B519" s="280" t="s">
        <v>913</v>
      </c>
      <c r="C519" s="458" t="s">
        <v>913</v>
      </c>
    </row>
    <row r="520" spans="1:3" x14ac:dyDescent="0.25">
      <c r="A520" s="81">
        <v>519</v>
      </c>
      <c r="B520" s="280" t="s">
        <v>914</v>
      </c>
      <c r="C520" s="458" t="s">
        <v>914</v>
      </c>
    </row>
    <row r="521" spans="1:3" x14ac:dyDescent="0.25">
      <c r="A521" s="81">
        <v>520</v>
      </c>
      <c r="B521" s="280" t="s">
        <v>915</v>
      </c>
      <c r="C521" s="458" t="s">
        <v>915</v>
      </c>
    </row>
    <row r="522" spans="1:3" x14ac:dyDescent="0.25">
      <c r="A522" s="81">
        <v>521</v>
      </c>
      <c r="B522" s="280" t="s">
        <v>916</v>
      </c>
      <c r="C522" s="458" t="s">
        <v>916</v>
      </c>
    </row>
    <row r="523" spans="1:3" x14ac:dyDescent="0.25">
      <c r="A523" s="81">
        <v>522</v>
      </c>
      <c r="B523" s="280" t="s">
        <v>917</v>
      </c>
      <c r="C523" s="458" t="s">
        <v>917</v>
      </c>
    </row>
    <row r="524" spans="1:3" x14ac:dyDescent="0.25">
      <c r="A524" s="81" t="s">
        <v>367</v>
      </c>
      <c r="B524" s="280" t="s">
        <v>918</v>
      </c>
      <c r="C524" s="458" t="s">
        <v>918</v>
      </c>
    </row>
    <row r="525" spans="1:3" x14ac:dyDescent="0.25">
      <c r="A525" s="81">
        <v>524</v>
      </c>
      <c r="B525" s="280" t="s">
        <v>919</v>
      </c>
      <c r="C525" s="458" t="s">
        <v>919</v>
      </c>
    </row>
    <row r="526" spans="1:3" x14ac:dyDescent="0.25">
      <c r="A526" s="81">
        <v>525</v>
      </c>
      <c r="B526" s="280" t="s">
        <v>920</v>
      </c>
      <c r="C526" s="458" t="s">
        <v>920</v>
      </c>
    </row>
    <row r="527" spans="1:3" x14ac:dyDescent="0.25">
      <c r="A527" s="81">
        <v>526</v>
      </c>
      <c r="B527" s="280" t="s">
        <v>921</v>
      </c>
      <c r="C527" s="458" t="s">
        <v>921</v>
      </c>
    </row>
    <row r="528" spans="1:3" x14ac:dyDescent="0.25">
      <c r="A528" s="81">
        <v>527</v>
      </c>
      <c r="B528" s="280" t="s">
        <v>922</v>
      </c>
      <c r="C528" s="458" t="s">
        <v>922</v>
      </c>
    </row>
    <row r="529" spans="1:3" x14ac:dyDescent="0.25">
      <c r="A529" s="81">
        <v>528</v>
      </c>
      <c r="B529" s="280" t="s">
        <v>923</v>
      </c>
      <c r="C529" s="458" t="s">
        <v>923</v>
      </c>
    </row>
    <row r="530" spans="1:3" x14ac:dyDescent="0.25">
      <c r="A530" s="81">
        <v>529</v>
      </c>
      <c r="B530" s="280" t="s">
        <v>924</v>
      </c>
      <c r="C530" s="458" t="s">
        <v>924</v>
      </c>
    </row>
    <row r="531" spans="1:3" x14ac:dyDescent="0.25">
      <c r="A531" s="81">
        <v>530</v>
      </c>
      <c r="B531" s="280" t="s">
        <v>925</v>
      </c>
      <c r="C531" s="458" t="s">
        <v>925</v>
      </c>
    </row>
    <row r="532" spans="1:3" x14ac:dyDescent="0.25">
      <c r="A532" s="81">
        <v>531</v>
      </c>
      <c r="B532" s="280" t="s">
        <v>926</v>
      </c>
      <c r="C532" s="458" t="s">
        <v>926</v>
      </c>
    </row>
    <row r="533" spans="1:3" ht="14.4" x14ac:dyDescent="0.25">
      <c r="A533" s="81">
        <v>532</v>
      </c>
      <c r="B533" s="282" t="s">
        <v>927</v>
      </c>
      <c r="C533" s="432" t="s">
        <v>927</v>
      </c>
    </row>
    <row r="534" spans="1:3" x14ac:dyDescent="0.25">
      <c r="A534" s="81">
        <v>533</v>
      </c>
      <c r="B534" s="280" t="s">
        <v>928</v>
      </c>
      <c r="C534" s="458" t="s">
        <v>928</v>
      </c>
    </row>
    <row r="535" spans="1:3" x14ac:dyDescent="0.25">
      <c r="A535" s="81">
        <v>534</v>
      </c>
      <c r="B535" s="280" t="s">
        <v>929</v>
      </c>
      <c r="C535" s="458" t="s">
        <v>929</v>
      </c>
    </row>
    <row r="536" spans="1:3" x14ac:dyDescent="0.25">
      <c r="A536" s="81">
        <v>535</v>
      </c>
      <c r="B536" s="280" t="s">
        <v>930</v>
      </c>
      <c r="C536" s="458" t="s">
        <v>930</v>
      </c>
    </row>
    <row r="537" spans="1:3" x14ac:dyDescent="0.25">
      <c r="A537" s="81">
        <v>536</v>
      </c>
      <c r="B537" s="280" t="s">
        <v>931</v>
      </c>
      <c r="C537" s="458" t="s">
        <v>931</v>
      </c>
    </row>
    <row r="538" spans="1:3" x14ac:dyDescent="0.25">
      <c r="A538" s="81">
        <v>537</v>
      </c>
      <c r="B538" s="280" t="s">
        <v>932</v>
      </c>
      <c r="C538" s="458" t="s">
        <v>932</v>
      </c>
    </row>
    <row r="539" spans="1:3" x14ac:dyDescent="0.25">
      <c r="A539" s="81">
        <v>538</v>
      </c>
      <c r="B539" s="280" t="s">
        <v>933</v>
      </c>
      <c r="C539" s="458" t="s">
        <v>933</v>
      </c>
    </row>
    <row r="540" spans="1:3" x14ac:dyDescent="0.25">
      <c r="A540" s="81">
        <v>539</v>
      </c>
      <c r="B540" s="280" t="s">
        <v>934</v>
      </c>
      <c r="C540" s="458" t="s">
        <v>934</v>
      </c>
    </row>
    <row r="541" spans="1:3" x14ac:dyDescent="0.25">
      <c r="A541" s="81">
        <v>540</v>
      </c>
      <c r="B541" s="280" t="s">
        <v>935</v>
      </c>
      <c r="C541" s="458" t="s">
        <v>935</v>
      </c>
    </row>
    <row r="542" spans="1:3" x14ac:dyDescent="0.25">
      <c r="A542" s="81">
        <v>541</v>
      </c>
      <c r="B542" s="280" t="s">
        <v>936</v>
      </c>
      <c r="C542" s="458" t="s">
        <v>936</v>
      </c>
    </row>
    <row r="543" spans="1:3" x14ac:dyDescent="0.25">
      <c r="A543" s="81">
        <v>542</v>
      </c>
      <c r="B543" s="280" t="s">
        <v>937</v>
      </c>
      <c r="C543" s="458" t="s">
        <v>937</v>
      </c>
    </row>
    <row r="544" spans="1:3" x14ac:dyDescent="0.25">
      <c r="A544" s="81">
        <v>543</v>
      </c>
      <c r="B544" s="280" t="s">
        <v>938</v>
      </c>
      <c r="C544" s="458" t="s">
        <v>938</v>
      </c>
    </row>
    <row r="545" spans="1:3" ht="14.4" x14ac:dyDescent="0.25">
      <c r="A545" s="81">
        <v>544</v>
      </c>
      <c r="B545" s="282" t="s">
        <v>939</v>
      </c>
      <c r="C545" s="432" t="s">
        <v>939</v>
      </c>
    </row>
    <row r="546" spans="1:3" ht="14.4" x14ac:dyDescent="0.25">
      <c r="A546" s="81">
        <v>545</v>
      </c>
      <c r="B546" s="282" t="s">
        <v>940</v>
      </c>
      <c r="C546" s="432" t="s">
        <v>940</v>
      </c>
    </row>
    <row r="547" spans="1:3" x14ac:dyDescent="0.25">
      <c r="A547" s="81" t="s">
        <v>367</v>
      </c>
      <c r="B547" s="280" t="s">
        <v>941</v>
      </c>
      <c r="C547" s="458" t="s">
        <v>941</v>
      </c>
    </row>
    <row r="548" spans="1:3" x14ac:dyDescent="0.25">
      <c r="A548" s="81">
        <v>547</v>
      </c>
      <c r="B548" s="280" t="s">
        <v>942</v>
      </c>
      <c r="C548" s="458" t="s">
        <v>942</v>
      </c>
    </row>
    <row r="549" spans="1:3" x14ac:dyDescent="0.25">
      <c r="A549" s="81">
        <v>548</v>
      </c>
      <c r="B549" s="280" t="s">
        <v>943</v>
      </c>
      <c r="C549" s="458" t="s">
        <v>943</v>
      </c>
    </row>
    <row r="550" spans="1:3" ht="14.4" x14ac:dyDescent="0.25">
      <c r="A550" s="81">
        <v>549</v>
      </c>
      <c r="B550" s="282" t="s">
        <v>944</v>
      </c>
      <c r="C550" s="432" t="s">
        <v>944</v>
      </c>
    </row>
    <row r="551" spans="1:3" x14ac:dyDescent="0.25">
      <c r="A551" s="81" t="s">
        <v>367</v>
      </c>
      <c r="B551" s="280" t="s">
        <v>945</v>
      </c>
      <c r="C551" s="458" t="s">
        <v>945</v>
      </c>
    </row>
    <row r="552" spans="1:3" x14ac:dyDescent="0.25">
      <c r="A552" s="81">
        <v>551</v>
      </c>
      <c r="B552" s="280" t="s">
        <v>946</v>
      </c>
      <c r="C552" s="458" t="s">
        <v>946</v>
      </c>
    </row>
    <row r="553" spans="1:3" x14ac:dyDescent="0.25">
      <c r="A553" s="81">
        <v>552</v>
      </c>
      <c r="B553" s="280" t="s">
        <v>947</v>
      </c>
      <c r="C553" s="458" t="s">
        <v>947</v>
      </c>
    </row>
    <row r="554" spans="1:3" x14ac:dyDescent="0.25">
      <c r="A554" s="81">
        <v>553</v>
      </c>
      <c r="B554" s="280" t="s">
        <v>948</v>
      </c>
      <c r="C554" s="458" t="s">
        <v>948</v>
      </c>
    </row>
    <row r="555" spans="1:3" x14ac:dyDescent="0.25">
      <c r="A555" s="81">
        <v>554</v>
      </c>
      <c r="B555" s="280" t="s">
        <v>949</v>
      </c>
      <c r="C555" s="458" t="s">
        <v>949</v>
      </c>
    </row>
    <row r="556" spans="1:3" x14ac:dyDescent="0.25">
      <c r="A556" s="81">
        <v>555</v>
      </c>
      <c r="B556" s="280" t="s">
        <v>950</v>
      </c>
      <c r="C556" s="458" t="s">
        <v>950</v>
      </c>
    </row>
    <row r="557" spans="1:3" x14ac:dyDescent="0.25">
      <c r="A557" s="81">
        <v>556</v>
      </c>
      <c r="B557" s="280" t="s">
        <v>951</v>
      </c>
      <c r="C557" s="458" t="s">
        <v>951</v>
      </c>
    </row>
    <row r="558" spans="1:3" x14ac:dyDescent="0.25">
      <c r="A558" s="81">
        <v>557</v>
      </c>
      <c r="B558" s="280" t="s">
        <v>952</v>
      </c>
      <c r="C558" s="458" t="s">
        <v>952</v>
      </c>
    </row>
    <row r="559" spans="1:3" x14ac:dyDescent="0.25">
      <c r="A559" s="81">
        <v>558</v>
      </c>
      <c r="B559" s="280" t="s">
        <v>953</v>
      </c>
      <c r="C559" s="458" t="s">
        <v>953</v>
      </c>
    </row>
    <row r="560" spans="1:3" x14ac:dyDescent="0.25">
      <c r="A560" s="81">
        <v>559</v>
      </c>
      <c r="B560" s="280" t="s">
        <v>954</v>
      </c>
      <c r="C560" s="458" t="s">
        <v>954</v>
      </c>
    </row>
    <row r="561" spans="1:3" x14ac:dyDescent="0.25">
      <c r="A561" s="81">
        <v>560</v>
      </c>
      <c r="B561" s="280" t="s">
        <v>955</v>
      </c>
      <c r="C561" s="458" t="s">
        <v>955</v>
      </c>
    </row>
    <row r="562" spans="1:3" x14ac:dyDescent="0.25">
      <c r="A562" s="81">
        <v>561</v>
      </c>
      <c r="B562" s="280" t="s">
        <v>956</v>
      </c>
      <c r="C562" s="458" t="s">
        <v>956</v>
      </c>
    </row>
    <row r="563" spans="1:3" x14ac:dyDescent="0.25">
      <c r="A563" s="81">
        <v>562</v>
      </c>
      <c r="B563" s="280" t="s">
        <v>957</v>
      </c>
      <c r="C563" s="458" t="s">
        <v>957</v>
      </c>
    </row>
    <row r="564" spans="1:3" x14ac:dyDescent="0.25">
      <c r="A564" s="81">
        <v>563</v>
      </c>
      <c r="B564" s="280" t="s">
        <v>958</v>
      </c>
      <c r="C564" s="458" t="s">
        <v>958</v>
      </c>
    </row>
    <row r="565" spans="1:3" x14ac:dyDescent="0.25">
      <c r="A565" s="81">
        <v>564</v>
      </c>
      <c r="B565" s="280" t="s">
        <v>959</v>
      </c>
      <c r="C565" s="458" t="s">
        <v>959</v>
      </c>
    </row>
    <row r="566" spans="1:3" x14ac:dyDescent="0.25">
      <c r="A566" s="81">
        <v>565</v>
      </c>
      <c r="B566" s="280" t="s">
        <v>960</v>
      </c>
      <c r="C566" s="458" t="s">
        <v>960</v>
      </c>
    </row>
    <row r="567" spans="1:3" x14ac:dyDescent="0.25">
      <c r="A567" s="81">
        <v>566</v>
      </c>
      <c r="B567" s="280" t="s">
        <v>961</v>
      </c>
      <c r="C567" s="458" t="s">
        <v>961</v>
      </c>
    </row>
    <row r="568" spans="1:3" x14ac:dyDescent="0.25">
      <c r="A568" s="81">
        <v>567</v>
      </c>
      <c r="B568" s="280" t="s">
        <v>962</v>
      </c>
      <c r="C568" s="458" t="s">
        <v>962</v>
      </c>
    </row>
    <row r="569" spans="1:3" x14ac:dyDescent="0.25">
      <c r="A569" s="81">
        <v>568</v>
      </c>
      <c r="B569" s="280" t="s">
        <v>963</v>
      </c>
      <c r="C569" s="458" t="s">
        <v>963</v>
      </c>
    </row>
    <row r="570" spans="1:3" x14ac:dyDescent="0.25">
      <c r="A570" s="81">
        <v>569</v>
      </c>
      <c r="B570" s="280" t="s">
        <v>964</v>
      </c>
      <c r="C570" s="458" t="s">
        <v>964</v>
      </c>
    </row>
    <row r="571" spans="1:3" x14ac:dyDescent="0.25">
      <c r="A571" s="81">
        <v>570</v>
      </c>
      <c r="B571" s="280" t="s">
        <v>965</v>
      </c>
      <c r="C571" s="458" t="s">
        <v>965</v>
      </c>
    </row>
    <row r="572" spans="1:3" x14ac:dyDescent="0.25">
      <c r="A572" s="81">
        <v>571</v>
      </c>
      <c r="B572" s="280" t="s">
        <v>966</v>
      </c>
      <c r="C572" s="458" t="s">
        <v>966</v>
      </c>
    </row>
    <row r="573" spans="1:3" x14ac:dyDescent="0.25">
      <c r="A573" s="81">
        <v>572</v>
      </c>
      <c r="B573" s="280" t="s">
        <v>967</v>
      </c>
      <c r="C573" s="458" t="s">
        <v>967</v>
      </c>
    </row>
    <row r="574" spans="1:3" x14ac:dyDescent="0.25">
      <c r="A574" s="81">
        <v>573</v>
      </c>
      <c r="B574" s="280" t="s">
        <v>968</v>
      </c>
      <c r="C574" s="458" t="s">
        <v>968</v>
      </c>
    </row>
    <row r="575" spans="1:3" x14ac:dyDescent="0.25">
      <c r="A575" s="81">
        <v>574</v>
      </c>
      <c r="B575" s="280" t="s">
        <v>969</v>
      </c>
      <c r="C575" s="458" t="s">
        <v>969</v>
      </c>
    </row>
    <row r="576" spans="1:3" x14ac:dyDescent="0.25">
      <c r="A576" s="81">
        <v>575</v>
      </c>
      <c r="B576" s="280" t="s">
        <v>970</v>
      </c>
      <c r="C576" s="458" t="s">
        <v>970</v>
      </c>
    </row>
    <row r="577" spans="1:3" x14ac:dyDescent="0.25">
      <c r="A577" s="81">
        <v>576</v>
      </c>
      <c r="B577" s="280" t="s">
        <v>971</v>
      </c>
      <c r="C577" s="458" t="s">
        <v>971</v>
      </c>
    </row>
    <row r="578" spans="1:3" ht="14.4" x14ac:dyDescent="0.25">
      <c r="A578" s="81" t="s">
        <v>367</v>
      </c>
      <c r="B578" s="282" t="s">
        <v>972</v>
      </c>
      <c r="C578" s="432" t="s">
        <v>972</v>
      </c>
    </row>
    <row r="579" spans="1:3" x14ac:dyDescent="0.25">
      <c r="A579" s="81">
        <v>578</v>
      </c>
      <c r="B579" s="280" t="s">
        <v>973</v>
      </c>
      <c r="C579" s="458" t="s">
        <v>973</v>
      </c>
    </row>
    <row r="580" spans="1:3" x14ac:dyDescent="0.25">
      <c r="A580" s="81">
        <v>579</v>
      </c>
      <c r="B580" s="280" t="s">
        <v>974</v>
      </c>
      <c r="C580" s="458" t="s">
        <v>974</v>
      </c>
    </row>
    <row r="581" spans="1:3" x14ac:dyDescent="0.25">
      <c r="A581" s="81">
        <v>580</v>
      </c>
      <c r="B581" s="280" t="s">
        <v>975</v>
      </c>
      <c r="C581" s="458" t="s">
        <v>975</v>
      </c>
    </row>
    <row r="582" spans="1:3" x14ac:dyDescent="0.25">
      <c r="A582" s="81">
        <v>581</v>
      </c>
      <c r="B582" s="280" t="s">
        <v>976</v>
      </c>
      <c r="C582" s="458" t="s">
        <v>976</v>
      </c>
    </row>
    <row r="583" spans="1:3" x14ac:dyDescent="0.25">
      <c r="A583" s="81">
        <v>582</v>
      </c>
      <c r="B583" s="280" t="s">
        <v>977</v>
      </c>
      <c r="C583" s="458" t="s">
        <v>977</v>
      </c>
    </row>
    <row r="584" spans="1:3" x14ac:dyDescent="0.25">
      <c r="A584" s="81">
        <v>583</v>
      </c>
      <c r="B584" s="280" t="s">
        <v>978</v>
      </c>
      <c r="C584" s="458" t="s">
        <v>978</v>
      </c>
    </row>
    <row r="585" spans="1:3" x14ac:dyDescent="0.25">
      <c r="A585" s="81" t="s">
        <v>367</v>
      </c>
      <c r="B585" s="280" t="s">
        <v>979</v>
      </c>
      <c r="C585" s="458" t="s">
        <v>979</v>
      </c>
    </row>
    <row r="586" spans="1:3" x14ac:dyDescent="0.25">
      <c r="A586" s="81">
        <v>585</v>
      </c>
      <c r="B586" s="280" t="s">
        <v>980</v>
      </c>
      <c r="C586" s="458" t="s">
        <v>980</v>
      </c>
    </row>
    <row r="587" spans="1:3" x14ac:dyDescent="0.25">
      <c r="A587" s="81">
        <v>586</v>
      </c>
      <c r="B587" s="280" t="s">
        <v>981</v>
      </c>
      <c r="C587" s="458" t="s">
        <v>981</v>
      </c>
    </row>
    <row r="588" spans="1:3" x14ac:dyDescent="0.25">
      <c r="A588" s="81">
        <v>587</v>
      </c>
      <c r="B588" s="280" t="s">
        <v>982</v>
      </c>
      <c r="C588" s="458" t="s">
        <v>982</v>
      </c>
    </row>
    <row r="589" spans="1:3" x14ac:dyDescent="0.25">
      <c r="A589" s="81">
        <v>588</v>
      </c>
      <c r="B589" s="280" t="s">
        <v>983</v>
      </c>
      <c r="C589" s="458" t="s">
        <v>983</v>
      </c>
    </row>
    <row r="590" spans="1:3" x14ac:dyDescent="0.25">
      <c r="A590" s="81">
        <v>589</v>
      </c>
      <c r="B590" s="280" t="s">
        <v>984</v>
      </c>
      <c r="C590" s="458" t="s">
        <v>984</v>
      </c>
    </row>
    <row r="591" spans="1:3" x14ac:dyDescent="0.25">
      <c r="A591" s="81">
        <v>590</v>
      </c>
      <c r="B591" s="280" t="s">
        <v>985</v>
      </c>
      <c r="C591" s="458" t="s">
        <v>985</v>
      </c>
    </row>
    <row r="592" spans="1:3" ht="14.4" x14ac:dyDescent="0.25">
      <c r="A592" s="81">
        <v>591</v>
      </c>
      <c r="B592" s="282" t="s">
        <v>986</v>
      </c>
      <c r="C592" s="432" t="s">
        <v>986</v>
      </c>
    </row>
    <row r="593" spans="1:3" ht="14.4" x14ac:dyDescent="0.25">
      <c r="A593" s="81">
        <v>592</v>
      </c>
      <c r="B593" s="282" t="s">
        <v>987</v>
      </c>
      <c r="C593" s="432" t="s">
        <v>987</v>
      </c>
    </row>
    <row r="594" spans="1:3" ht="14.4" x14ac:dyDescent="0.25">
      <c r="A594" s="81">
        <v>593</v>
      </c>
      <c r="B594" s="282" t="s">
        <v>988</v>
      </c>
      <c r="C594" s="432" t="s">
        <v>988</v>
      </c>
    </row>
    <row r="595" spans="1:3" x14ac:dyDescent="0.25">
      <c r="A595" s="81">
        <v>594</v>
      </c>
      <c r="B595" s="280" t="s">
        <v>989</v>
      </c>
      <c r="C595" s="458" t="s">
        <v>989</v>
      </c>
    </row>
    <row r="596" spans="1:3" x14ac:dyDescent="0.25">
      <c r="A596" s="81">
        <v>595</v>
      </c>
      <c r="B596" s="280" t="s">
        <v>990</v>
      </c>
      <c r="C596" s="458" t="s">
        <v>990</v>
      </c>
    </row>
    <row r="597" spans="1:3" x14ac:dyDescent="0.25">
      <c r="A597" s="81">
        <v>596</v>
      </c>
      <c r="B597" s="280" t="s">
        <v>991</v>
      </c>
      <c r="C597" s="458" t="s">
        <v>991</v>
      </c>
    </row>
    <row r="598" spans="1:3" ht="14.4" x14ac:dyDescent="0.25">
      <c r="A598" s="81">
        <v>597</v>
      </c>
      <c r="B598" s="282" t="s">
        <v>992</v>
      </c>
      <c r="C598" s="432" t="s">
        <v>992</v>
      </c>
    </row>
    <row r="599" spans="1:3" x14ac:dyDescent="0.25">
      <c r="A599" s="81">
        <v>598</v>
      </c>
      <c r="B599" s="280" t="s">
        <v>993</v>
      </c>
      <c r="C599" s="458" t="s">
        <v>993</v>
      </c>
    </row>
    <row r="600" spans="1:3" x14ac:dyDescent="0.25">
      <c r="A600" s="81">
        <v>599</v>
      </c>
      <c r="B600" s="280" t="s">
        <v>994</v>
      </c>
      <c r="C600" s="458" t="s">
        <v>994</v>
      </c>
    </row>
    <row r="601" spans="1:3" x14ac:dyDescent="0.25">
      <c r="A601" s="81">
        <v>600</v>
      </c>
      <c r="B601" s="280" t="s">
        <v>995</v>
      </c>
      <c r="C601" s="458" t="s">
        <v>995</v>
      </c>
    </row>
    <row r="602" spans="1:3" x14ac:dyDescent="0.25">
      <c r="A602" s="81">
        <v>601</v>
      </c>
      <c r="B602" s="280" t="s">
        <v>996</v>
      </c>
      <c r="C602" s="458" t="s">
        <v>996</v>
      </c>
    </row>
    <row r="603" spans="1:3" x14ac:dyDescent="0.25">
      <c r="A603" s="81">
        <v>602</v>
      </c>
      <c r="B603" s="280" t="s">
        <v>997</v>
      </c>
      <c r="C603" s="458" t="s">
        <v>997</v>
      </c>
    </row>
    <row r="604" spans="1:3" x14ac:dyDescent="0.25">
      <c r="A604" s="81">
        <v>603</v>
      </c>
      <c r="B604" s="280" t="s">
        <v>998</v>
      </c>
      <c r="C604" s="458" t="s">
        <v>998</v>
      </c>
    </row>
    <row r="605" spans="1:3" x14ac:dyDescent="0.25">
      <c r="A605" s="81">
        <v>604</v>
      </c>
      <c r="B605" s="283" t="s">
        <v>999</v>
      </c>
      <c r="C605" s="458" t="s">
        <v>999</v>
      </c>
    </row>
    <row r="606" spans="1:3" x14ac:dyDescent="0.25">
      <c r="A606" s="81">
        <v>605</v>
      </c>
      <c r="B606" s="283" t="s">
        <v>1000</v>
      </c>
      <c r="C606" s="458" t="s">
        <v>1000</v>
      </c>
    </row>
    <row r="607" spans="1:3" x14ac:dyDescent="0.25">
      <c r="A607" s="81">
        <v>606</v>
      </c>
      <c r="B607" s="283" t="s">
        <v>1001</v>
      </c>
      <c r="C607" s="458" t="s">
        <v>1001</v>
      </c>
    </row>
    <row r="608" spans="1:3" x14ac:dyDescent="0.25">
      <c r="A608" s="81">
        <v>607</v>
      </c>
      <c r="B608" s="283" t="s">
        <v>1002</v>
      </c>
      <c r="C608" s="458" t="s">
        <v>1002</v>
      </c>
    </row>
    <row r="609" spans="1:3" x14ac:dyDescent="0.25">
      <c r="A609" s="81">
        <v>608</v>
      </c>
      <c r="B609" s="283" t="s">
        <v>1003</v>
      </c>
      <c r="C609" s="458" t="s">
        <v>1003</v>
      </c>
    </row>
    <row r="610" spans="1:3" x14ac:dyDescent="0.25">
      <c r="A610" s="81">
        <v>609</v>
      </c>
      <c r="B610" s="280" t="s">
        <v>1004</v>
      </c>
      <c r="C610" s="458" t="s">
        <v>1004</v>
      </c>
    </row>
    <row r="611" spans="1:3" x14ac:dyDescent="0.25">
      <c r="A611" s="81">
        <v>610</v>
      </c>
      <c r="B611" s="280" t="s">
        <v>1005</v>
      </c>
      <c r="C611" s="458" t="s">
        <v>1005</v>
      </c>
    </row>
    <row r="612" spans="1:3" x14ac:dyDescent="0.25">
      <c r="A612" s="81">
        <v>611</v>
      </c>
      <c r="B612" s="280" t="s">
        <v>1006</v>
      </c>
      <c r="C612" s="458" t="s">
        <v>1006</v>
      </c>
    </row>
    <row r="613" spans="1:3" x14ac:dyDescent="0.25">
      <c r="A613" s="81">
        <v>612</v>
      </c>
      <c r="B613" s="280" t="s">
        <v>1007</v>
      </c>
      <c r="C613" s="458" t="s">
        <v>1007</v>
      </c>
    </row>
    <row r="614" spans="1:3" x14ac:dyDescent="0.25">
      <c r="A614" s="81">
        <v>613</v>
      </c>
      <c r="B614" s="280" t="s">
        <v>1008</v>
      </c>
      <c r="C614" s="458" t="s">
        <v>1008</v>
      </c>
    </row>
    <row r="615" spans="1:3" x14ac:dyDescent="0.25">
      <c r="A615" s="81">
        <v>614</v>
      </c>
      <c r="B615" s="280" t="s">
        <v>1009</v>
      </c>
      <c r="C615" s="458" t="s">
        <v>1009</v>
      </c>
    </row>
    <row r="616" spans="1:3" x14ac:dyDescent="0.25">
      <c r="A616" s="81">
        <v>615</v>
      </c>
      <c r="B616" s="280" t="s">
        <v>1010</v>
      </c>
      <c r="C616" s="458" t="s">
        <v>1010</v>
      </c>
    </row>
    <row r="617" spans="1:3" x14ac:dyDescent="0.25">
      <c r="A617" s="81">
        <v>616</v>
      </c>
      <c r="B617" s="280" t="s">
        <v>1011</v>
      </c>
      <c r="C617" s="458" t="s">
        <v>1011</v>
      </c>
    </row>
    <row r="618" spans="1:3" x14ac:dyDescent="0.25">
      <c r="A618" s="81">
        <v>617</v>
      </c>
      <c r="B618" s="280" t="s">
        <v>1012</v>
      </c>
      <c r="C618" s="458" t="s">
        <v>1012</v>
      </c>
    </row>
    <row r="619" spans="1:3" x14ac:dyDescent="0.25">
      <c r="A619" s="81">
        <v>618</v>
      </c>
      <c r="B619" s="280" t="s">
        <v>1013</v>
      </c>
      <c r="C619" s="458" t="s">
        <v>1013</v>
      </c>
    </row>
    <row r="620" spans="1:3" x14ac:dyDescent="0.25">
      <c r="A620" s="81">
        <v>619</v>
      </c>
      <c r="B620" s="280" t="s">
        <v>1014</v>
      </c>
      <c r="C620" s="458" t="s">
        <v>1014</v>
      </c>
    </row>
    <row r="621" spans="1:3" x14ac:dyDescent="0.25">
      <c r="A621" s="81">
        <v>620</v>
      </c>
      <c r="B621" s="280" t="s">
        <v>1015</v>
      </c>
      <c r="C621" s="458" t="s">
        <v>1015</v>
      </c>
    </row>
    <row r="622" spans="1:3" x14ac:dyDescent="0.25">
      <c r="A622" s="81">
        <v>621</v>
      </c>
      <c r="B622" s="280" t="s">
        <v>1016</v>
      </c>
      <c r="C622" s="458" t="s">
        <v>1016</v>
      </c>
    </row>
    <row r="623" spans="1:3" x14ac:dyDescent="0.25">
      <c r="A623" s="81">
        <v>622</v>
      </c>
      <c r="B623" s="280" t="s">
        <v>1017</v>
      </c>
      <c r="C623" s="458" t="s">
        <v>1017</v>
      </c>
    </row>
    <row r="624" spans="1:3" x14ac:dyDescent="0.25">
      <c r="A624" s="81">
        <v>623</v>
      </c>
      <c r="B624" s="280" t="s">
        <v>1018</v>
      </c>
      <c r="C624" s="458" t="s">
        <v>1018</v>
      </c>
    </row>
    <row r="625" spans="1:3" x14ac:dyDescent="0.25">
      <c r="A625" s="81">
        <v>624</v>
      </c>
      <c r="B625" s="280" t="s">
        <v>1019</v>
      </c>
      <c r="C625" s="458" t="s">
        <v>1019</v>
      </c>
    </row>
    <row r="626" spans="1:3" x14ac:dyDescent="0.25">
      <c r="A626" s="81">
        <v>625</v>
      </c>
      <c r="B626" s="280" t="s">
        <v>1020</v>
      </c>
      <c r="C626" s="458" t="s">
        <v>1020</v>
      </c>
    </row>
    <row r="627" spans="1:3" x14ac:dyDescent="0.25">
      <c r="A627" s="81">
        <v>626</v>
      </c>
      <c r="B627" s="280" t="s">
        <v>1021</v>
      </c>
      <c r="C627" s="458" t="s">
        <v>1021</v>
      </c>
    </row>
    <row r="628" spans="1:3" x14ac:dyDescent="0.25">
      <c r="A628" s="81">
        <v>627</v>
      </c>
      <c r="B628" s="280" t="s">
        <v>1022</v>
      </c>
      <c r="C628" s="458" t="s">
        <v>1022</v>
      </c>
    </row>
    <row r="629" spans="1:3" x14ac:dyDescent="0.25">
      <c r="A629" s="81">
        <v>628</v>
      </c>
      <c r="B629" s="280" t="s">
        <v>1023</v>
      </c>
      <c r="C629" s="458" t="s">
        <v>1023</v>
      </c>
    </row>
    <row r="630" spans="1:3" x14ac:dyDescent="0.25">
      <c r="A630" s="81">
        <v>629</v>
      </c>
      <c r="B630" s="280" t="s">
        <v>1024</v>
      </c>
      <c r="C630" s="458" t="s">
        <v>1024</v>
      </c>
    </row>
    <row r="631" spans="1:3" x14ac:dyDescent="0.25">
      <c r="A631" s="81">
        <v>630</v>
      </c>
      <c r="B631" s="280" t="s">
        <v>1025</v>
      </c>
      <c r="C631" s="458" t="s">
        <v>1025</v>
      </c>
    </row>
    <row r="632" spans="1:3" x14ac:dyDescent="0.25">
      <c r="A632" s="81">
        <v>631</v>
      </c>
      <c r="B632" s="280" t="s">
        <v>1026</v>
      </c>
      <c r="C632" s="458" t="s">
        <v>1026</v>
      </c>
    </row>
    <row r="633" spans="1:3" x14ac:dyDescent="0.25">
      <c r="A633" s="81">
        <v>632</v>
      </c>
      <c r="B633" s="280" t="s">
        <v>1027</v>
      </c>
      <c r="C633" s="458" t="s">
        <v>1027</v>
      </c>
    </row>
    <row r="634" spans="1:3" x14ac:dyDescent="0.25">
      <c r="A634" s="81">
        <v>633</v>
      </c>
      <c r="B634" s="280" t="s">
        <v>1028</v>
      </c>
      <c r="C634" s="458" t="s">
        <v>1028</v>
      </c>
    </row>
    <row r="635" spans="1:3" x14ac:dyDescent="0.25">
      <c r="A635" s="81">
        <v>634</v>
      </c>
      <c r="B635" s="280" t="s">
        <v>1029</v>
      </c>
      <c r="C635" s="458" t="s">
        <v>1029</v>
      </c>
    </row>
    <row r="636" spans="1:3" x14ac:dyDescent="0.25">
      <c r="A636" s="81">
        <v>635</v>
      </c>
      <c r="B636" s="280" t="s">
        <v>1030</v>
      </c>
      <c r="C636" s="458" t="s">
        <v>1030</v>
      </c>
    </row>
    <row r="637" spans="1:3" x14ac:dyDescent="0.25">
      <c r="A637" s="81">
        <v>636</v>
      </c>
      <c r="B637" s="280" t="s">
        <v>1031</v>
      </c>
      <c r="C637" s="458" t="s">
        <v>1031</v>
      </c>
    </row>
    <row r="638" spans="1:3" x14ac:dyDescent="0.25">
      <c r="A638" s="81">
        <v>637</v>
      </c>
      <c r="B638" s="280" t="s">
        <v>1032</v>
      </c>
      <c r="C638" s="458" t="s">
        <v>1032</v>
      </c>
    </row>
    <row r="639" spans="1:3" x14ac:dyDescent="0.25">
      <c r="A639" s="81">
        <v>638</v>
      </c>
      <c r="B639" s="280" t="s">
        <v>1033</v>
      </c>
      <c r="C639" s="458" t="s">
        <v>1033</v>
      </c>
    </row>
    <row r="640" spans="1:3" x14ac:dyDescent="0.25">
      <c r="A640" s="81">
        <v>639</v>
      </c>
      <c r="B640" s="280" t="s">
        <v>1034</v>
      </c>
      <c r="C640" s="458" t="s">
        <v>1034</v>
      </c>
    </row>
    <row r="641" spans="1:3" x14ac:dyDescent="0.25">
      <c r="A641" s="81">
        <v>640</v>
      </c>
      <c r="B641" s="280" t="s">
        <v>1035</v>
      </c>
      <c r="C641" s="458" t="s">
        <v>1035</v>
      </c>
    </row>
    <row r="642" spans="1:3" x14ac:dyDescent="0.25">
      <c r="A642" s="81">
        <v>641</v>
      </c>
      <c r="B642" s="280" t="s">
        <v>1036</v>
      </c>
      <c r="C642" s="458" t="s">
        <v>1036</v>
      </c>
    </row>
    <row r="643" spans="1:3" x14ac:dyDescent="0.25">
      <c r="A643" s="81">
        <v>642</v>
      </c>
      <c r="B643" s="280" t="s">
        <v>1037</v>
      </c>
      <c r="C643" s="458" t="s">
        <v>1037</v>
      </c>
    </row>
    <row r="644" spans="1:3" x14ac:dyDescent="0.25">
      <c r="A644" s="81">
        <v>643</v>
      </c>
      <c r="B644" s="280" t="s">
        <v>1038</v>
      </c>
      <c r="C644" s="458" t="s">
        <v>1038</v>
      </c>
    </row>
    <row r="645" spans="1:3" x14ac:dyDescent="0.25">
      <c r="A645" s="81">
        <v>644</v>
      </c>
      <c r="B645" s="280" t="s">
        <v>1039</v>
      </c>
      <c r="C645" s="458" t="s">
        <v>1039</v>
      </c>
    </row>
    <row r="646" spans="1:3" x14ac:dyDescent="0.25">
      <c r="A646" s="81">
        <v>645</v>
      </c>
      <c r="B646" s="280" t="s">
        <v>1040</v>
      </c>
      <c r="C646" s="458" t="s">
        <v>1040</v>
      </c>
    </row>
    <row r="647" spans="1:3" x14ac:dyDescent="0.25">
      <c r="A647" s="81">
        <v>646</v>
      </c>
      <c r="B647" s="280" t="s">
        <v>1041</v>
      </c>
      <c r="C647" s="458" t="s">
        <v>1041</v>
      </c>
    </row>
    <row r="648" spans="1:3" x14ac:dyDescent="0.25">
      <c r="A648" s="81">
        <v>647</v>
      </c>
      <c r="B648" s="280" t="s">
        <v>1042</v>
      </c>
      <c r="C648" s="458" t="s">
        <v>1042</v>
      </c>
    </row>
    <row r="649" spans="1:3" x14ac:dyDescent="0.25">
      <c r="A649" s="81">
        <v>648</v>
      </c>
      <c r="B649" s="280" t="s">
        <v>1043</v>
      </c>
      <c r="C649" s="458" t="s">
        <v>1043</v>
      </c>
    </row>
    <row r="650" spans="1:3" x14ac:dyDescent="0.25">
      <c r="A650" s="81">
        <v>649</v>
      </c>
      <c r="B650" s="280" t="s">
        <v>1044</v>
      </c>
      <c r="C650" s="458" t="s">
        <v>1044</v>
      </c>
    </row>
    <row r="651" spans="1:3" x14ac:dyDescent="0.25">
      <c r="A651" s="81">
        <v>650</v>
      </c>
      <c r="B651" s="280" t="s">
        <v>66</v>
      </c>
      <c r="C651" s="458" t="s">
        <v>66</v>
      </c>
    </row>
    <row r="652" spans="1:3" x14ac:dyDescent="0.25">
      <c r="A652" s="81">
        <v>651</v>
      </c>
      <c r="B652" s="280" t="s">
        <v>1045</v>
      </c>
      <c r="C652" s="458" t="s">
        <v>1045</v>
      </c>
    </row>
    <row r="653" spans="1:3" x14ac:dyDescent="0.25">
      <c r="A653" s="81">
        <v>652</v>
      </c>
      <c r="B653" s="280" t="s">
        <v>1046</v>
      </c>
      <c r="C653" s="458" t="s">
        <v>1046</v>
      </c>
    </row>
    <row r="654" spans="1:3" x14ac:dyDescent="0.25">
      <c r="A654" s="81">
        <v>653</v>
      </c>
      <c r="B654" s="280" t="s">
        <v>1047</v>
      </c>
      <c r="C654" s="458" t="s">
        <v>1047</v>
      </c>
    </row>
    <row r="655" spans="1:3" x14ac:dyDescent="0.25">
      <c r="A655" s="81">
        <v>654</v>
      </c>
      <c r="B655" s="280" t="s">
        <v>1048</v>
      </c>
      <c r="C655" s="458" t="s">
        <v>1048</v>
      </c>
    </row>
    <row r="656" spans="1:3" x14ac:dyDescent="0.25">
      <c r="A656" s="81">
        <v>655</v>
      </c>
      <c r="B656" s="280" t="s">
        <v>1049</v>
      </c>
      <c r="C656" s="458" t="s">
        <v>1049</v>
      </c>
    </row>
    <row r="657" spans="1:3" x14ac:dyDescent="0.25">
      <c r="A657" s="81">
        <v>656</v>
      </c>
      <c r="B657" s="280" t="s">
        <v>1050</v>
      </c>
      <c r="C657" s="458" t="s">
        <v>1050</v>
      </c>
    </row>
    <row r="658" spans="1:3" x14ac:dyDescent="0.25">
      <c r="A658" s="81">
        <v>657</v>
      </c>
      <c r="B658" s="280" t="s">
        <v>1051</v>
      </c>
      <c r="C658" s="458" t="s">
        <v>1051</v>
      </c>
    </row>
    <row r="659" spans="1:3" x14ac:dyDescent="0.25">
      <c r="A659" s="81">
        <v>658</v>
      </c>
      <c r="B659" s="280" t="s">
        <v>1052</v>
      </c>
      <c r="C659" s="458" t="s">
        <v>1052</v>
      </c>
    </row>
    <row r="660" spans="1:3" x14ac:dyDescent="0.25">
      <c r="A660" s="81">
        <v>659</v>
      </c>
      <c r="B660" s="280" t="s">
        <v>1053</v>
      </c>
      <c r="C660" s="458" t="s">
        <v>1053</v>
      </c>
    </row>
    <row r="661" spans="1:3" x14ac:dyDescent="0.25">
      <c r="A661" s="81">
        <v>660</v>
      </c>
      <c r="B661" s="280" t="s">
        <v>1054</v>
      </c>
      <c r="C661" s="458" t="s">
        <v>1054</v>
      </c>
    </row>
    <row r="662" spans="1:3" x14ac:dyDescent="0.25">
      <c r="A662" s="81">
        <v>661</v>
      </c>
      <c r="B662" s="280" t="s">
        <v>1055</v>
      </c>
      <c r="C662" s="458" t="s">
        <v>1055</v>
      </c>
    </row>
    <row r="663" spans="1:3" x14ac:dyDescent="0.25">
      <c r="A663" s="81">
        <v>662</v>
      </c>
      <c r="B663" s="280" t="s">
        <v>1056</v>
      </c>
      <c r="C663" s="458" t="s">
        <v>1056</v>
      </c>
    </row>
    <row r="664" spans="1:3" x14ac:dyDescent="0.25">
      <c r="A664" s="81">
        <v>663</v>
      </c>
      <c r="B664" s="280" t="s">
        <v>1057</v>
      </c>
      <c r="C664" s="458" t="s">
        <v>1057</v>
      </c>
    </row>
    <row r="665" spans="1:3" x14ac:dyDescent="0.25">
      <c r="A665" s="81">
        <v>664</v>
      </c>
      <c r="B665" s="280" t="s">
        <v>1058</v>
      </c>
      <c r="C665" s="458" t="s">
        <v>1058</v>
      </c>
    </row>
    <row r="666" spans="1:3" x14ac:dyDescent="0.25">
      <c r="A666" s="81" t="s">
        <v>367</v>
      </c>
      <c r="B666" s="284" t="s">
        <v>1059</v>
      </c>
      <c r="C666" s="461" t="s">
        <v>1059</v>
      </c>
    </row>
    <row r="667" spans="1:3" x14ac:dyDescent="0.25">
      <c r="A667" s="81" t="s">
        <v>367</v>
      </c>
      <c r="B667" s="280" t="s">
        <v>1060</v>
      </c>
      <c r="C667" s="458" t="s">
        <v>1060</v>
      </c>
    </row>
    <row r="668" spans="1:3" x14ac:dyDescent="0.25">
      <c r="A668" s="81">
        <v>667</v>
      </c>
      <c r="B668" s="280" t="s">
        <v>1061</v>
      </c>
      <c r="C668" s="458" t="s">
        <v>1061</v>
      </c>
    </row>
    <row r="669" spans="1:3" x14ac:dyDescent="0.25">
      <c r="A669" s="81">
        <v>668</v>
      </c>
      <c r="B669" s="280" t="s">
        <v>1062</v>
      </c>
      <c r="C669" s="458" t="s">
        <v>1062</v>
      </c>
    </row>
    <row r="670" spans="1:3" x14ac:dyDescent="0.25">
      <c r="A670" s="81">
        <v>669</v>
      </c>
      <c r="B670" s="280" t="s">
        <v>1063</v>
      </c>
      <c r="C670" s="458" t="s">
        <v>1063</v>
      </c>
    </row>
    <row r="671" spans="1:3" x14ac:dyDescent="0.25">
      <c r="A671" s="81">
        <v>670</v>
      </c>
      <c r="B671" s="280" t="s">
        <v>1064</v>
      </c>
      <c r="C671" s="458" t="s">
        <v>1064</v>
      </c>
    </row>
    <row r="672" spans="1:3" x14ac:dyDescent="0.25">
      <c r="A672" s="81">
        <v>671</v>
      </c>
      <c r="B672" s="280" t="s">
        <v>1065</v>
      </c>
      <c r="C672" s="458" t="s">
        <v>1065</v>
      </c>
    </row>
    <row r="673" spans="1:3" x14ac:dyDescent="0.25">
      <c r="A673" s="81">
        <v>672</v>
      </c>
      <c r="B673" s="280" t="s">
        <v>1066</v>
      </c>
      <c r="C673" s="458" t="s">
        <v>1066</v>
      </c>
    </row>
    <row r="674" spans="1:3" x14ac:dyDescent="0.25">
      <c r="A674" s="81">
        <v>673</v>
      </c>
      <c r="B674" s="280" t="s">
        <v>1067</v>
      </c>
      <c r="C674" s="458" t="s">
        <v>1067</v>
      </c>
    </row>
    <row r="675" spans="1:3" x14ac:dyDescent="0.25">
      <c r="A675" s="81">
        <v>674</v>
      </c>
      <c r="B675" s="280" t="s">
        <v>1068</v>
      </c>
      <c r="C675" s="458" t="s">
        <v>1068</v>
      </c>
    </row>
    <row r="676" spans="1:3" x14ac:dyDescent="0.25">
      <c r="A676" s="81">
        <v>675</v>
      </c>
      <c r="B676" s="280" t="s">
        <v>1069</v>
      </c>
      <c r="C676" s="458" t="s">
        <v>1069</v>
      </c>
    </row>
    <row r="677" spans="1:3" x14ac:dyDescent="0.25">
      <c r="A677" s="81">
        <v>676</v>
      </c>
      <c r="B677" s="280" t="s">
        <v>1070</v>
      </c>
      <c r="C677" s="458" t="s">
        <v>1070</v>
      </c>
    </row>
    <row r="678" spans="1:3" x14ac:dyDescent="0.25">
      <c r="A678" s="81">
        <v>677</v>
      </c>
      <c r="B678" s="280" t="s">
        <v>1071</v>
      </c>
      <c r="C678" s="458" t="s">
        <v>1071</v>
      </c>
    </row>
    <row r="679" spans="1:3" x14ac:dyDescent="0.25">
      <c r="A679" s="81">
        <v>678</v>
      </c>
      <c r="B679" s="280" t="s">
        <v>1072</v>
      </c>
      <c r="C679" s="458" t="s">
        <v>1072</v>
      </c>
    </row>
    <row r="680" spans="1:3" x14ac:dyDescent="0.25">
      <c r="A680" s="81">
        <v>679</v>
      </c>
      <c r="B680" s="280" t="s">
        <v>1073</v>
      </c>
      <c r="C680" s="458" t="s">
        <v>1073</v>
      </c>
    </row>
    <row r="681" spans="1:3" x14ac:dyDescent="0.25">
      <c r="A681" s="81">
        <v>680</v>
      </c>
      <c r="B681" s="280" t="s">
        <v>1074</v>
      </c>
      <c r="C681" s="458" t="s">
        <v>1074</v>
      </c>
    </row>
    <row r="682" spans="1:3" x14ac:dyDescent="0.25">
      <c r="A682" s="81">
        <v>681</v>
      </c>
      <c r="B682" s="280" t="s">
        <v>1075</v>
      </c>
      <c r="C682" s="458" t="s">
        <v>1075</v>
      </c>
    </row>
    <row r="683" spans="1:3" x14ac:dyDescent="0.25">
      <c r="A683" s="81">
        <v>682</v>
      </c>
      <c r="B683" s="280" t="s">
        <v>1076</v>
      </c>
      <c r="C683" s="458" t="s">
        <v>1076</v>
      </c>
    </row>
    <row r="684" spans="1:3" x14ac:dyDescent="0.25">
      <c r="A684" s="81">
        <v>683</v>
      </c>
      <c r="B684" s="280" t="s">
        <v>1077</v>
      </c>
      <c r="C684" s="458" t="s">
        <v>1077</v>
      </c>
    </row>
    <row r="685" spans="1:3" x14ac:dyDescent="0.25">
      <c r="A685" s="81">
        <v>684</v>
      </c>
      <c r="B685" s="280" t="s">
        <v>1078</v>
      </c>
      <c r="C685" s="458" t="s">
        <v>1078</v>
      </c>
    </row>
    <row r="686" spans="1:3" x14ac:dyDescent="0.25">
      <c r="A686" s="81">
        <v>685</v>
      </c>
      <c r="B686" s="280" t="s">
        <v>1079</v>
      </c>
      <c r="C686" s="458" t="s">
        <v>1079</v>
      </c>
    </row>
    <row r="687" spans="1:3" x14ac:dyDescent="0.25">
      <c r="A687" s="81">
        <v>686</v>
      </c>
      <c r="B687" s="280" t="s">
        <v>1080</v>
      </c>
      <c r="C687" s="458" t="s">
        <v>1080</v>
      </c>
    </row>
    <row r="688" spans="1:3" x14ac:dyDescent="0.25">
      <c r="A688" s="81">
        <v>687</v>
      </c>
      <c r="B688" s="280" t="s">
        <v>1081</v>
      </c>
      <c r="C688" s="458" t="s">
        <v>1081</v>
      </c>
    </row>
    <row r="689" spans="1:3" x14ac:dyDescent="0.25">
      <c r="A689" s="81">
        <v>688</v>
      </c>
      <c r="B689" s="280" t="s">
        <v>1082</v>
      </c>
      <c r="C689" s="458" t="s">
        <v>1082</v>
      </c>
    </row>
    <row r="690" spans="1:3" x14ac:dyDescent="0.25">
      <c r="A690" s="81">
        <v>689</v>
      </c>
      <c r="B690" s="280" t="s">
        <v>1083</v>
      </c>
      <c r="C690" s="458" t="s">
        <v>1083</v>
      </c>
    </row>
    <row r="691" spans="1:3" x14ac:dyDescent="0.25">
      <c r="A691" s="81">
        <v>690</v>
      </c>
      <c r="B691" s="280" t="s">
        <v>1084</v>
      </c>
      <c r="C691" s="458" t="s">
        <v>1084</v>
      </c>
    </row>
    <row r="692" spans="1:3" x14ac:dyDescent="0.25">
      <c r="A692" s="81">
        <v>691</v>
      </c>
      <c r="B692" s="280" t="s">
        <v>1085</v>
      </c>
      <c r="C692" s="458" t="s">
        <v>1085</v>
      </c>
    </row>
    <row r="693" spans="1:3" x14ac:dyDescent="0.25">
      <c r="A693" s="81">
        <v>692</v>
      </c>
      <c r="B693" s="280" t="s">
        <v>1086</v>
      </c>
      <c r="C693" s="458" t="s">
        <v>1086</v>
      </c>
    </row>
    <row r="694" spans="1:3" x14ac:dyDescent="0.25">
      <c r="A694" s="81">
        <v>693</v>
      </c>
      <c r="B694" s="280" t="s">
        <v>1087</v>
      </c>
      <c r="C694" s="458" t="s">
        <v>1087</v>
      </c>
    </row>
    <row r="695" spans="1:3" x14ac:dyDescent="0.25">
      <c r="A695" s="81">
        <v>694</v>
      </c>
      <c r="B695" s="280" t="s">
        <v>1088</v>
      </c>
      <c r="C695" s="458" t="s">
        <v>1088</v>
      </c>
    </row>
    <row r="696" spans="1:3" x14ac:dyDescent="0.25">
      <c r="A696" s="81">
        <v>695</v>
      </c>
      <c r="B696" s="280" t="s">
        <v>1089</v>
      </c>
      <c r="C696" s="458" t="s">
        <v>1089</v>
      </c>
    </row>
    <row r="697" spans="1:3" x14ac:dyDescent="0.25">
      <c r="A697" s="81">
        <v>696</v>
      </c>
      <c r="B697" s="280" t="s">
        <v>1090</v>
      </c>
      <c r="C697" s="458" t="s">
        <v>1090</v>
      </c>
    </row>
    <row r="698" spans="1:3" x14ac:dyDescent="0.25">
      <c r="A698" s="81">
        <v>697</v>
      </c>
      <c r="B698" s="280" t="s">
        <v>1091</v>
      </c>
      <c r="C698" s="458" t="s">
        <v>1091</v>
      </c>
    </row>
    <row r="699" spans="1:3" x14ac:dyDescent="0.25">
      <c r="A699" s="81">
        <v>698</v>
      </c>
      <c r="B699" s="280" t="s">
        <v>1092</v>
      </c>
      <c r="C699" s="458" t="s">
        <v>1092</v>
      </c>
    </row>
    <row r="700" spans="1:3" x14ac:dyDescent="0.25">
      <c r="A700" s="81">
        <v>699</v>
      </c>
      <c r="B700" s="280" t="s">
        <v>1093</v>
      </c>
      <c r="C700" s="458" t="s">
        <v>1093</v>
      </c>
    </row>
    <row r="701" spans="1:3" x14ac:dyDescent="0.25">
      <c r="A701" s="81">
        <v>700</v>
      </c>
      <c r="B701" s="280" t="s">
        <v>1094</v>
      </c>
      <c r="C701" s="458" t="s">
        <v>1094</v>
      </c>
    </row>
    <row r="702" spans="1:3" x14ac:dyDescent="0.25">
      <c r="A702" s="81">
        <v>701</v>
      </c>
      <c r="B702" s="280" t="s">
        <v>1095</v>
      </c>
      <c r="C702" s="458" t="s">
        <v>1095</v>
      </c>
    </row>
    <row r="703" spans="1:3" x14ac:dyDescent="0.25">
      <c r="A703" s="81">
        <v>702</v>
      </c>
      <c r="B703" s="280" t="s">
        <v>1096</v>
      </c>
      <c r="C703" s="458" t="s">
        <v>1096</v>
      </c>
    </row>
    <row r="704" spans="1:3" x14ac:dyDescent="0.25">
      <c r="A704" s="81">
        <v>703</v>
      </c>
      <c r="B704" s="280" t="s">
        <v>1097</v>
      </c>
      <c r="C704" s="458" t="s">
        <v>1097</v>
      </c>
    </row>
    <row r="705" spans="1:3" x14ac:dyDescent="0.25">
      <c r="A705" s="81">
        <v>704</v>
      </c>
      <c r="B705" s="280" t="s">
        <v>1098</v>
      </c>
      <c r="C705" s="458" t="s">
        <v>1098</v>
      </c>
    </row>
    <row r="706" spans="1:3" x14ac:dyDescent="0.25">
      <c r="A706" s="81">
        <v>705</v>
      </c>
      <c r="B706" s="280" t="s">
        <v>1099</v>
      </c>
      <c r="C706" s="458" t="s">
        <v>1099</v>
      </c>
    </row>
    <row r="707" spans="1:3" x14ac:dyDescent="0.25">
      <c r="A707" s="81">
        <v>706</v>
      </c>
      <c r="B707" s="280" t="s">
        <v>1100</v>
      </c>
      <c r="C707" s="458" t="s">
        <v>1100</v>
      </c>
    </row>
    <row r="708" spans="1:3" x14ac:dyDescent="0.25">
      <c r="A708" s="81">
        <v>707</v>
      </c>
      <c r="B708" s="280" t="s">
        <v>1101</v>
      </c>
      <c r="C708" s="458" t="s">
        <v>1101</v>
      </c>
    </row>
    <row r="709" spans="1:3" x14ac:dyDescent="0.25">
      <c r="A709" s="81">
        <v>708</v>
      </c>
      <c r="B709" s="280" t="s">
        <v>1102</v>
      </c>
      <c r="C709" s="458" t="s">
        <v>1102</v>
      </c>
    </row>
    <row r="710" spans="1:3" x14ac:dyDescent="0.25">
      <c r="A710" s="81">
        <v>709</v>
      </c>
      <c r="B710" s="280" t="s">
        <v>1103</v>
      </c>
      <c r="C710" s="458" t="s">
        <v>1103</v>
      </c>
    </row>
    <row r="711" spans="1:3" x14ac:dyDescent="0.25">
      <c r="A711" s="81">
        <v>710</v>
      </c>
      <c r="B711" s="280" t="s">
        <v>1104</v>
      </c>
      <c r="C711" s="458" t="s">
        <v>1104</v>
      </c>
    </row>
    <row r="712" spans="1:3" x14ac:dyDescent="0.25">
      <c r="A712" s="81">
        <v>711</v>
      </c>
      <c r="B712" s="280" t="s">
        <v>1105</v>
      </c>
      <c r="C712" s="458" t="s">
        <v>1105</v>
      </c>
    </row>
    <row r="713" spans="1:3" x14ac:dyDescent="0.25">
      <c r="A713" s="81">
        <v>712</v>
      </c>
      <c r="B713" s="280" t="s">
        <v>1106</v>
      </c>
      <c r="C713" s="458" t="s">
        <v>1106</v>
      </c>
    </row>
    <row r="714" spans="1:3" x14ac:dyDescent="0.25">
      <c r="A714" s="81">
        <v>713</v>
      </c>
      <c r="B714" s="280" t="s">
        <v>1107</v>
      </c>
      <c r="C714" s="458" t="s">
        <v>1107</v>
      </c>
    </row>
    <row r="715" spans="1:3" x14ac:dyDescent="0.25">
      <c r="A715" s="81">
        <v>714</v>
      </c>
      <c r="B715" s="280" t="s">
        <v>1108</v>
      </c>
      <c r="C715" s="458" t="s">
        <v>1108</v>
      </c>
    </row>
    <row r="716" spans="1:3" x14ac:dyDescent="0.25">
      <c r="A716" s="81">
        <v>715</v>
      </c>
      <c r="B716" s="280" t="s">
        <v>1109</v>
      </c>
      <c r="C716" s="458" t="s">
        <v>1109</v>
      </c>
    </row>
    <row r="717" spans="1:3" x14ac:dyDescent="0.25">
      <c r="A717" s="81">
        <v>716</v>
      </c>
      <c r="B717" s="280" t="s">
        <v>1110</v>
      </c>
      <c r="C717" s="458" t="s">
        <v>1110</v>
      </c>
    </row>
    <row r="718" spans="1:3" x14ac:dyDescent="0.25">
      <c r="A718" s="81">
        <v>717</v>
      </c>
      <c r="B718" s="280" t="s">
        <v>1111</v>
      </c>
      <c r="C718" s="458" t="s">
        <v>1111</v>
      </c>
    </row>
    <row r="719" spans="1:3" x14ac:dyDescent="0.25">
      <c r="A719" s="81">
        <v>718</v>
      </c>
      <c r="B719" s="280" t="s">
        <v>1112</v>
      </c>
      <c r="C719" s="458" t="s">
        <v>1112</v>
      </c>
    </row>
    <row r="720" spans="1:3" x14ac:dyDescent="0.25">
      <c r="A720" s="81" t="s">
        <v>367</v>
      </c>
      <c r="B720" s="280" t="s">
        <v>1113</v>
      </c>
      <c r="C720" s="458" t="s">
        <v>1113</v>
      </c>
    </row>
    <row r="721" spans="1:3" x14ac:dyDescent="0.25">
      <c r="A721" s="81">
        <v>720</v>
      </c>
      <c r="B721" s="280" t="s">
        <v>1114</v>
      </c>
      <c r="C721" s="458" t="s">
        <v>1114</v>
      </c>
    </row>
    <row r="722" spans="1:3" x14ac:dyDescent="0.25">
      <c r="A722" s="81">
        <v>721</v>
      </c>
      <c r="B722" s="280" t="s">
        <v>1115</v>
      </c>
      <c r="C722" s="458" t="s">
        <v>1115</v>
      </c>
    </row>
    <row r="723" spans="1:3" ht="26.4" x14ac:dyDescent="0.25">
      <c r="A723" s="81">
        <v>722</v>
      </c>
      <c r="B723" s="280" t="s">
        <v>1116</v>
      </c>
      <c r="C723" s="458" t="s">
        <v>1116</v>
      </c>
    </row>
    <row r="724" spans="1:3" x14ac:dyDescent="0.25">
      <c r="A724" s="81">
        <v>723</v>
      </c>
      <c r="B724" s="280" t="s">
        <v>1117</v>
      </c>
      <c r="C724" s="458" t="s">
        <v>1117</v>
      </c>
    </row>
    <row r="725" spans="1:3" x14ac:dyDescent="0.25">
      <c r="A725" s="81">
        <v>724</v>
      </c>
      <c r="B725" s="280" t="s">
        <v>1118</v>
      </c>
      <c r="C725" s="458" t="s">
        <v>1118</v>
      </c>
    </row>
    <row r="726" spans="1:3" x14ac:dyDescent="0.25">
      <c r="A726" s="81">
        <v>725</v>
      </c>
      <c r="B726" s="280" t="s">
        <v>1119</v>
      </c>
      <c r="C726" s="458" t="s">
        <v>1119</v>
      </c>
    </row>
    <row r="727" spans="1:3" x14ac:dyDescent="0.25">
      <c r="A727" s="81">
        <v>726</v>
      </c>
      <c r="B727" s="280" t="s">
        <v>1120</v>
      </c>
      <c r="C727" s="458" t="s">
        <v>1120</v>
      </c>
    </row>
    <row r="728" spans="1:3" x14ac:dyDescent="0.25">
      <c r="A728" s="81">
        <v>727</v>
      </c>
      <c r="B728" s="280" t="s">
        <v>1121</v>
      </c>
      <c r="C728" s="458" t="s">
        <v>1121</v>
      </c>
    </row>
    <row r="729" spans="1:3" x14ac:dyDescent="0.25">
      <c r="A729" s="81">
        <v>728</v>
      </c>
      <c r="B729" s="280" t="s">
        <v>1122</v>
      </c>
      <c r="C729" s="458" t="s">
        <v>1122</v>
      </c>
    </row>
    <row r="730" spans="1:3" x14ac:dyDescent="0.25">
      <c r="A730" s="81">
        <v>729</v>
      </c>
      <c r="B730" s="280" t="s">
        <v>1123</v>
      </c>
      <c r="C730" s="458" t="s">
        <v>1123</v>
      </c>
    </row>
    <row r="731" spans="1:3" x14ac:dyDescent="0.25">
      <c r="A731" s="81">
        <v>730</v>
      </c>
      <c r="B731" s="280" t="s">
        <v>1124</v>
      </c>
      <c r="C731" s="458" t="s">
        <v>1124</v>
      </c>
    </row>
    <row r="732" spans="1:3" x14ac:dyDescent="0.25">
      <c r="A732" s="81" t="s">
        <v>367</v>
      </c>
      <c r="B732" s="280" t="s">
        <v>1125</v>
      </c>
      <c r="C732" s="458" t="s">
        <v>1125</v>
      </c>
    </row>
    <row r="733" spans="1:3" x14ac:dyDescent="0.25">
      <c r="A733" s="81">
        <v>732</v>
      </c>
      <c r="B733" s="280" t="s">
        <v>1126</v>
      </c>
      <c r="C733" s="458" t="s">
        <v>1126</v>
      </c>
    </row>
    <row r="734" spans="1:3" x14ac:dyDescent="0.25">
      <c r="A734" s="81">
        <v>733</v>
      </c>
      <c r="B734" s="280" t="s">
        <v>1127</v>
      </c>
      <c r="C734" s="458" t="s">
        <v>1127</v>
      </c>
    </row>
    <row r="735" spans="1:3" x14ac:dyDescent="0.25">
      <c r="A735" s="81">
        <v>734</v>
      </c>
      <c r="B735" s="280" t="s">
        <v>1128</v>
      </c>
      <c r="C735" s="458" t="s">
        <v>1128</v>
      </c>
    </row>
    <row r="736" spans="1:3" x14ac:dyDescent="0.25">
      <c r="A736" s="81">
        <v>735</v>
      </c>
      <c r="B736" s="280" t="s">
        <v>1129</v>
      </c>
      <c r="C736" s="458" t="s">
        <v>1129</v>
      </c>
    </row>
    <row r="737" spans="1:3" x14ac:dyDescent="0.25">
      <c r="A737" s="81">
        <v>736</v>
      </c>
      <c r="B737" s="280" t="s">
        <v>1130</v>
      </c>
      <c r="C737" s="458" t="s">
        <v>1130</v>
      </c>
    </row>
    <row r="738" spans="1:3" x14ac:dyDescent="0.25">
      <c r="A738" s="81">
        <v>737</v>
      </c>
      <c r="B738" s="280" t="s">
        <v>1131</v>
      </c>
      <c r="C738" s="458" t="s">
        <v>1131</v>
      </c>
    </row>
    <row r="739" spans="1:3" x14ac:dyDescent="0.25">
      <c r="A739" s="81">
        <v>738</v>
      </c>
      <c r="B739" s="280" t="s">
        <v>1132</v>
      </c>
      <c r="C739" s="458" t="s">
        <v>1132</v>
      </c>
    </row>
    <row r="740" spans="1:3" x14ac:dyDescent="0.25">
      <c r="A740" s="81">
        <v>739</v>
      </c>
      <c r="B740" s="280" t="s">
        <v>1133</v>
      </c>
      <c r="C740" s="458" t="s">
        <v>1133</v>
      </c>
    </row>
    <row r="741" spans="1:3" x14ac:dyDescent="0.25">
      <c r="A741" s="81">
        <v>740</v>
      </c>
      <c r="B741" s="280" t="s">
        <v>1134</v>
      </c>
      <c r="C741" s="458" t="s">
        <v>1134</v>
      </c>
    </row>
    <row r="742" spans="1:3" x14ac:dyDescent="0.25">
      <c r="A742" s="81">
        <v>741</v>
      </c>
      <c r="B742" s="280" t="s">
        <v>1135</v>
      </c>
      <c r="C742" s="458" t="s">
        <v>1135</v>
      </c>
    </row>
    <row r="743" spans="1:3" x14ac:dyDescent="0.25">
      <c r="A743" s="81">
        <v>742</v>
      </c>
      <c r="B743" s="280" t="s">
        <v>1136</v>
      </c>
      <c r="C743" s="458" t="s">
        <v>1136</v>
      </c>
    </row>
    <row r="744" spans="1:3" x14ac:dyDescent="0.25">
      <c r="A744" s="81">
        <v>743</v>
      </c>
      <c r="B744" s="280" t="s">
        <v>1137</v>
      </c>
      <c r="C744" s="458" t="s">
        <v>1137</v>
      </c>
    </row>
    <row r="745" spans="1:3" x14ac:dyDescent="0.25">
      <c r="A745" s="81">
        <v>744</v>
      </c>
      <c r="B745" s="280" t="s">
        <v>1138</v>
      </c>
      <c r="C745" s="458" t="s">
        <v>1138</v>
      </c>
    </row>
    <row r="746" spans="1:3" x14ac:dyDescent="0.25">
      <c r="A746" s="81">
        <v>745</v>
      </c>
      <c r="B746" s="280" t="s">
        <v>1139</v>
      </c>
      <c r="C746" s="458" t="s">
        <v>1139</v>
      </c>
    </row>
    <row r="747" spans="1:3" x14ac:dyDescent="0.25">
      <c r="A747" s="81">
        <v>746</v>
      </c>
      <c r="B747" s="280" t="s">
        <v>1140</v>
      </c>
      <c r="C747" s="458" t="s">
        <v>1140</v>
      </c>
    </row>
    <row r="748" spans="1:3" x14ac:dyDescent="0.25">
      <c r="A748" s="81">
        <v>747</v>
      </c>
      <c r="B748" s="280" t="s">
        <v>1141</v>
      </c>
      <c r="C748" s="458" t="s">
        <v>1141</v>
      </c>
    </row>
    <row r="749" spans="1:3" x14ac:dyDescent="0.25">
      <c r="A749" s="81">
        <v>748</v>
      </c>
      <c r="B749" s="280" t="s">
        <v>1142</v>
      </c>
      <c r="C749" s="458" t="s">
        <v>1142</v>
      </c>
    </row>
    <row r="750" spans="1:3" x14ac:dyDescent="0.25">
      <c r="A750" s="81">
        <v>749</v>
      </c>
      <c r="B750" s="280" t="s">
        <v>1143</v>
      </c>
      <c r="C750" s="458" t="s">
        <v>1143</v>
      </c>
    </row>
    <row r="751" spans="1:3" x14ac:dyDescent="0.25">
      <c r="A751" s="81">
        <v>750</v>
      </c>
      <c r="B751" s="280" t="s">
        <v>1144</v>
      </c>
      <c r="C751" s="458" t="s">
        <v>1144</v>
      </c>
    </row>
    <row r="752" spans="1:3" x14ac:dyDescent="0.25">
      <c r="A752" s="81">
        <v>751</v>
      </c>
      <c r="B752" s="280" t="s">
        <v>1145</v>
      </c>
      <c r="C752" s="458" t="s">
        <v>1145</v>
      </c>
    </row>
    <row r="753" spans="1:3" x14ac:dyDescent="0.25">
      <c r="A753" s="81">
        <v>752</v>
      </c>
      <c r="B753" s="280" t="s">
        <v>1146</v>
      </c>
      <c r="C753" s="458" t="s">
        <v>1146</v>
      </c>
    </row>
    <row r="754" spans="1:3" x14ac:dyDescent="0.25">
      <c r="A754" s="81">
        <v>753</v>
      </c>
      <c r="B754" s="280" t="s">
        <v>1147</v>
      </c>
      <c r="C754" s="458" t="s">
        <v>1147</v>
      </c>
    </row>
    <row r="755" spans="1:3" x14ac:dyDescent="0.25">
      <c r="A755" s="81">
        <v>754</v>
      </c>
      <c r="B755" s="280" t="s">
        <v>1148</v>
      </c>
      <c r="C755" s="458" t="s">
        <v>1148</v>
      </c>
    </row>
    <row r="756" spans="1:3" x14ac:dyDescent="0.25">
      <c r="A756" s="81">
        <v>755</v>
      </c>
      <c r="B756" s="280" t="s">
        <v>1149</v>
      </c>
      <c r="C756" s="458" t="s">
        <v>1149</v>
      </c>
    </row>
    <row r="757" spans="1:3" x14ac:dyDescent="0.25">
      <c r="A757" s="81">
        <v>756</v>
      </c>
      <c r="B757" s="280" t="s">
        <v>1150</v>
      </c>
      <c r="C757" s="458" t="s">
        <v>1150</v>
      </c>
    </row>
    <row r="758" spans="1:3" x14ac:dyDescent="0.25">
      <c r="A758" s="81">
        <v>757</v>
      </c>
      <c r="B758" s="280" t="s">
        <v>1151</v>
      </c>
      <c r="C758" s="458" t="s">
        <v>1151</v>
      </c>
    </row>
    <row r="759" spans="1:3" x14ac:dyDescent="0.25">
      <c r="A759" s="81">
        <v>758</v>
      </c>
      <c r="B759" s="280" t="s">
        <v>1152</v>
      </c>
      <c r="C759" s="458" t="s">
        <v>1152</v>
      </c>
    </row>
    <row r="760" spans="1:3" x14ac:dyDescent="0.25">
      <c r="A760" s="81">
        <v>759</v>
      </c>
      <c r="B760" s="280" t="s">
        <v>1153</v>
      </c>
      <c r="C760" s="458" t="s">
        <v>1153</v>
      </c>
    </row>
    <row r="761" spans="1:3" x14ac:dyDescent="0.25">
      <c r="A761" s="81">
        <v>760</v>
      </c>
      <c r="B761" s="280" t="s">
        <v>1154</v>
      </c>
      <c r="C761" s="458" t="s">
        <v>1154</v>
      </c>
    </row>
    <row r="762" spans="1:3" x14ac:dyDescent="0.25">
      <c r="A762" s="81">
        <v>761</v>
      </c>
      <c r="B762" s="280" t="s">
        <v>1155</v>
      </c>
      <c r="C762" s="458" t="s">
        <v>1155</v>
      </c>
    </row>
    <row r="763" spans="1:3" x14ac:dyDescent="0.25">
      <c r="A763" s="81">
        <v>762</v>
      </c>
      <c r="B763" s="280" t="s">
        <v>1156</v>
      </c>
      <c r="C763" s="458" t="s">
        <v>1156</v>
      </c>
    </row>
    <row r="764" spans="1:3" x14ac:dyDescent="0.25">
      <c r="A764" s="81">
        <v>763</v>
      </c>
      <c r="B764" s="280" t="s">
        <v>1157</v>
      </c>
      <c r="C764" s="458" t="s">
        <v>1157</v>
      </c>
    </row>
    <row r="765" spans="1:3" x14ac:dyDescent="0.25">
      <c r="A765" s="81">
        <v>764</v>
      </c>
      <c r="B765" s="280" t="s">
        <v>1158</v>
      </c>
      <c r="C765" s="458" t="s">
        <v>1158</v>
      </c>
    </row>
    <row r="766" spans="1:3" x14ac:dyDescent="0.25">
      <c r="A766" s="81">
        <v>765</v>
      </c>
      <c r="B766" s="280" t="s">
        <v>1159</v>
      </c>
      <c r="C766" s="458" t="s">
        <v>1159</v>
      </c>
    </row>
    <row r="767" spans="1:3" x14ac:dyDescent="0.25">
      <c r="A767" s="81">
        <v>766</v>
      </c>
      <c r="B767" s="280" t="s">
        <v>1160</v>
      </c>
      <c r="C767" s="458" t="s">
        <v>1160</v>
      </c>
    </row>
    <row r="768" spans="1:3" x14ac:dyDescent="0.25">
      <c r="A768" s="81">
        <v>767</v>
      </c>
      <c r="B768" s="280" t="s">
        <v>1161</v>
      </c>
      <c r="C768" s="458" t="s">
        <v>1161</v>
      </c>
    </row>
    <row r="769" spans="1:3" x14ac:dyDescent="0.25">
      <c r="A769" s="81">
        <v>768</v>
      </c>
      <c r="B769" s="280" t="s">
        <v>1162</v>
      </c>
      <c r="C769" s="458" t="s">
        <v>1162</v>
      </c>
    </row>
    <row r="770" spans="1:3" x14ac:dyDescent="0.25">
      <c r="A770" s="81">
        <v>769</v>
      </c>
      <c r="B770" s="280" t="s">
        <v>1163</v>
      </c>
      <c r="C770" s="458" t="s">
        <v>1164</v>
      </c>
    </row>
    <row r="771" spans="1:3" x14ac:dyDescent="0.25">
      <c r="A771" s="81">
        <v>770</v>
      </c>
      <c r="B771" s="280" t="s">
        <v>1165</v>
      </c>
      <c r="C771" s="458" t="s">
        <v>1165</v>
      </c>
    </row>
    <row r="772" spans="1:3" x14ac:dyDescent="0.25">
      <c r="A772" s="81">
        <v>771</v>
      </c>
      <c r="B772" s="280" t="s">
        <v>1166</v>
      </c>
      <c r="C772" s="458" t="s">
        <v>1166</v>
      </c>
    </row>
    <row r="773" spans="1:3" x14ac:dyDescent="0.25">
      <c r="A773" s="81">
        <v>772</v>
      </c>
      <c r="B773" s="280" t="s">
        <v>1167</v>
      </c>
      <c r="C773" s="458" t="s">
        <v>1167</v>
      </c>
    </row>
    <row r="774" spans="1:3" x14ac:dyDescent="0.25">
      <c r="A774" s="81" t="s">
        <v>367</v>
      </c>
      <c r="B774" s="280" t="s">
        <v>1168</v>
      </c>
      <c r="C774" s="458" t="s">
        <v>1168</v>
      </c>
    </row>
    <row r="775" spans="1:3" x14ac:dyDescent="0.25">
      <c r="A775" s="81">
        <v>774</v>
      </c>
      <c r="B775" s="280" t="s">
        <v>1169</v>
      </c>
      <c r="C775" s="458" t="s">
        <v>1169</v>
      </c>
    </row>
    <row r="776" spans="1:3" x14ac:dyDescent="0.25">
      <c r="A776" s="81">
        <v>775</v>
      </c>
      <c r="B776" s="280" t="s">
        <v>1170</v>
      </c>
      <c r="C776" s="458" t="s">
        <v>1170</v>
      </c>
    </row>
    <row r="777" spans="1:3" x14ac:dyDescent="0.25">
      <c r="A777" s="81">
        <v>776</v>
      </c>
      <c r="B777" s="280" t="s">
        <v>1171</v>
      </c>
      <c r="C777" s="458" t="s">
        <v>1171</v>
      </c>
    </row>
    <row r="778" spans="1:3" x14ac:dyDescent="0.25">
      <c r="A778" s="81">
        <v>777</v>
      </c>
      <c r="B778" s="280" t="s">
        <v>1172</v>
      </c>
      <c r="C778" s="458" t="s">
        <v>1172</v>
      </c>
    </row>
    <row r="779" spans="1:3" x14ac:dyDescent="0.25">
      <c r="A779" s="81">
        <v>778</v>
      </c>
      <c r="B779" s="280" t="s">
        <v>1173</v>
      </c>
      <c r="C779" s="458" t="s">
        <v>1173</v>
      </c>
    </row>
    <row r="780" spans="1:3" x14ac:dyDescent="0.25">
      <c r="A780" s="81">
        <v>779</v>
      </c>
      <c r="B780" s="280" t="s">
        <v>1174</v>
      </c>
      <c r="C780" s="458" t="s">
        <v>1174</v>
      </c>
    </row>
    <row r="781" spans="1:3" x14ac:dyDescent="0.25">
      <c r="A781" s="81">
        <v>780</v>
      </c>
      <c r="B781" s="280" t="s">
        <v>1175</v>
      </c>
      <c r="C781" s="458" t="s">
        <v>1175</v>
      </c>
    </row>
    <row r="782" spans="1:3" x14ac:dyDescent="0.25">
      <c r="A782" s="81">
        <v>781</v>
      </c>
      <c r="B782" s="280" t="s">
        <v>1176</v>
      </c>
      <c r="C782" s="458" t="s">
        <v>1176</v>
      </c>
    </row>
    <row r="783" spans="1:3" x14ac:dyDescent="0.25">
      <c r="A783" s="81">
        <v>782</v>
      </c>
      <c r="B783" s="280" t="s">
        <v>1177</v>
      </c>
      <c r="C783" s="458" t="s">
        <v>1177</v>
      </c>
    </row>
    <row r="784" spans="1:3" x14ac:dyDescent="0.25">
      <c r="A784" s="81">
        <v>783</v>
      </c>
      <c r="B784" s="280" t="s">
        <v>1178</v>
      </c>
      <c r="C784" s="458" t="s">
        <v>1178</v>
      </c>
    </row>
    <row r="785" spans="1:3" ht="49.2" x14ac:dyDescent="0.25">
      <c r="A785" s="81" t="s">
        <v>367</v>
      </c>
      <c r="B785" s="229" t="s">
        <v>1179</v>
      </c>
      <c r="C785" s="456" t="s">
        <v>1179</v>
      </c>
    </row>
    <row r="786" spans="1:3" x14ac:dyDescent="0.25">
      <c r="A786" s="81" t="s">
        <v>367</v>
      </c>
      <c r="B786" s="231" t="s">
        <v>1180</v>
      </c>
      <c r="C786" s="458" t="s">
        <v>1180</v>
      </c>
    </row>
    <row r="787" spans="1:3" x14ac:dyDescent="0.25">
      <c r="A787" s="81" t="s">
        <v>367</v>
      </c>
      <c r="B787" s="231" t="s">
        <v>1181</v>
      </c>
      <c r="C787" s="458" t="s">
        <v>1181</v>
      </c>
    </row>
    <row r="788" spans="1:3" ht="26.4" x14ac:dyDescent="0.25">
      <c r="A788" s="81" t="s">
        <v>367</v>
      </c>
      <c r="B788" s="231" t="s">
        <v>1182</v>
      </c>
      <c r="C788" s="458" t="s">
        <v>1182</v>
      </c>
    </row>
    <row r="789" spans="1:3" ht="31.2" thickBot="1" x14ac:dyDescent="0.3">
      <c r="A789" s="81" t="s">
        <v>367</v>
      </c>
      <c r="B789" s="251" t="s">
        <v>1183</v>
      </c>
      <c r="C789" s="467" t="s">
        <v>1183</v>
      </c>
    </row>
    <row r="790" spans="1:3" ht="21" thickBot="1" x14ac:dyDescent="0.3">
      <c r="A790" s="81" t="s">
        <v>367</v>
      </c>
      <c r="B790" s="260" t="s">
        <v>1184</v>
      </c>
      <c r="C790" s="466" t="s">
        <v>1184</v>
      </c>
    </row>
    <row r="791" spans="1:3" ht="13.8" thickBot="1" x14ac:dyDescent="0.3">
      <c r="A791" s="81" t="s">
        <v>367</v>
      </c>
      <c r="B791" s="261" t="s">
        <v>1185</v>
      </c>
      <c r="C791" s="466" t="s">
        <v>1185</v>
      </c>
    </row>
    <row r="792" spans="1:3" ht="13.8" thickBot="1" x14ac:dyDescent="0.3">
      <c r="A792" s="81" t="s">
        <v>367</v>
      </c>
      <c r="B792" s="261" t="s">
        <v>1186</v>
      </c>
      <c r="C792" s="466" t="s">
        <v>1186</v>
      </c>
    </row>
    <row r="793" spans="1:3" ht="13.8" thickBot="1" x14ac:dyDescent="0.3">
      <c r="A793" s="81" t="s">
        <v>367</v>
      </c>
      <c r="B793" s="261" t="s">
        <v>1187</v>
      </c>
      <c r="C793" s="466" t="s">
        <v>1187</v>
      </c>
    </row>
    <row r="794" spans="1:3" x14ac:dyDescent="0.25">
      <c r="A794" s="81" t="s">
        <v>367</v>
      </c>
      <c r="B794" s="231" t="s">
        <v>1188</v>
      </c>
      <c r="C794" s="458" t="s">
        <v>1188</v>
      </c>
    </row>
    <row r="795" spans="1:3" ht="17.399999999999999" x14ac:dyDescent="0.25">
      <c r="A795" s="81" t="s">
        <v>367</v>
      </c>
      <c r="B795" s="230" t="s">
        <v>1189</v>
      </c>
      <c r="C795" s="457" t="s">
        <v>1189</v>
      </c>
    </row>
    <row r="796" spans="1:3" x14ac:dyDescent="0.25">
      <c r="A796" s="81" t="s">
        <v>367</v>
      </c>
      <c r="B796" s="244" t="s">
        <v>1190</v>
      </c>
      <c r="C796" s="459" t="s">
        <v>1190</v>
      </c>
    </row>
    <row r="797" spans="1:3" ht="30.6" x14ac:dyDescent="0.25">
      <c r="A797" s="81" t="s">
        <v>367</v>
      </c>
      <c r="B797" s="256" t="s">
        <v>1191</v>
      </c>
      <c r="C797" s="465" t="s">
        <v>1191</v>
      </c>
    </row>
    <row r="798" spans="1:3" ht="26.4" x14ac:dyDescent="0.25">
      <c r="A798" s="81" t="s">
        <v>367</v>
      </c>
      <c r="B798" s="244" t="s">
        <v>1192</v>
      </c>
      <c r="C798" s="459" t="s">
        <v>1192</v>
      </c>
    </row>
    <row r="799" spans="1:3" ht="20.399999999999999" x14ac:dyDescent="0.25">
      <c r="A799" s="81" t="s">
        <v>367</v>
      </c>
      <c r="B799" s="256" t="s">
        <v>1193</v>
      </c>
      <c r="C799" s="465" t="s">
        <v>1193</v>
      </c>
    </row>
    <row r="800" spans="1:3" ht="26.4" x14ac:dyDescent="0.25">
      <c r="A800" s="81" t="s">
        <v>367</v>
      </c>
      <c r="B800" s="244" t="s">
        <v>1194</v>
      </c>
      <c r="C800" s="459" t="s">
        <v>1194</v>
      </c>
    </row>
    <row r="801" spans="1:3" ht="26.4" x14ac:dyDescent="0.25">
      <c r="A801" s="81" t="s">
        <v>367</v>
      </c>
      <c r="B801" s="244" t="s">
        <v>1195</v>
      </c>
      <c r="C801" s="459" t="s">
        <v>1195</v>
      </c>
    </row>
    <row r="802" spans="1:3" ht="15.6" x14ac:dyDescent="0.25">
      <c r="A802" s="81" t="s">
        <v>367</v>
      </c>
      <c r="B802" s="247" t="s">
        <v>1196</v>
      </c>
      <c r="C802" s="462" t="s">
        <v>1196</v>
      </c>
    </row>
    <row r="803" spans="1:3" x14ac:dyDescent="0.25">
      <c r="A803" s="81" t="s">
        <v>367</v>
      </c>
      <c r="B803" s="232" t="s">
        <v>1197</v>
      </c>
      <c r="C803" s="459" t="s">
        <v>1197</v>
      </c>
    </row>
    <row r="804" spans="1:3" ht="20.399999999999999" x14ac:dyDescent="0.25">
      <c r="A804" s="81" t="s">
        <v>367</v>
      </c>
      <c r="B804" s="256" t="s">
        <v>1198</v>
      </c>
      <c r="C804" s="465" t="s">
        <v>1199</v>
      </c>
    </row>
    <row r="805" spans="1:3" x14ac:dyDescent="0.25">
      <c r="A805" s="81" t="s">
        <v>367</v>
      </c>
      <c r="B805" s="248" t="s">
        <v>1200</v>
      </c>
      <c r="C805" s="465" t="s">
        <v>1200</v>
      </c>
    </row>
    <row r="806" spans="1:3" x14ac:dyDescent="0.25">
      <c r="A806" s="81" t="s">
        <v>367</v>
      </c>
      <c r="B806" s="248" t="s">
        <v>1201</v>
      </c>
      <c r="C806" s="465" t="s">
        <v>1201</v>
      </c>
    </row>
    <row r="807" spans="1:3" ht="26.4" x14ac:dyDescent="0.25">
      <c r="A807" s="81" t="s">
        <v>367</v>
      </c>
      <c r="B807" s="232" t="s">
        <v>1202</v>
      </c>
      <c r="C807" s="459" t="s">
        <v>1202</v>
      </c>
    </row>
    <row r="808" spans="1:3" ht="13.8" thickBot="1" x14ac:dyDescent="0.3">
      <c r="A808" s="81" t="s">
        <v>367</v>
      </c>
      <c r="B808" s="267" t="s">
        <v>1203</v>
      </c>
      <c r="C808" s="465" t="s">
        <v>1203</v>
      </c>
    </row>
    <row r="809" spans="1:3" ht="26.4" x14ac:dyDescent="0.25">
      <c r="A809" s="81" t="s">
        <v>367</v>
      </c>
      <c r="B809" s="232" t="s">
        <v>1204</v>
      </c>
      <c r="C809" s="459" t="s">
        <v>1205</v>
      </c>
    </row>
    <row r="810" spans="1:3" ht="15.6" x14ac:dyDescent="0.25">
      <c r="A810" s="81" t="s">
        <v>367</v>
      </c>
      <c r="B810" s="247" t="s">
        <v>1206</v>
      </c>
      <c r="C810" s="462" t="s">
        <v>1206</v>
      </c>
    </row>
    <row r="811" spans="1:3" x14ac:dyDescent="0.25">
      <c r="A811" s="81" t="s">
        <v>367</v>
      </c>
      <c r="B811" s="232" t="s">
        <v>1207</v>
      </c>
      <c r="C811" s="459" t="s">
        <v>1207</v>
      </c>
    </row>
    <row r="812" spans="1:3" ht="20.399999999999999" x14ac:dyDescent="0.25">
      <c r="A812" s="81" t="s">
        <v>367</v>
      </c>
      <c r="B812" s="256" t="s">
        <v>1208</v>
      </c>
      <c r="C812" s="465" t="s">
        <v>1209</v>
      </c>
    </row>
    <row r="813" spans="1:3" ht="27" thickBot="1" x14ac:dyDescent="0.3">
      <c r="A813" s="81" t="s">
        <v>367</v>
      </c>
      <c r="B813" s="285" t="s">
        <v>1210</v>
      </c>
      <c r="C813" s="459" t="s">
        <v>1210</v>
      </c>
    </row>
    <row r="814" spans="1:3" ht="27" thickBot="1" x14ac:dyDescent="0.3">
      <c r="A814" s="81" t="s">
        <v>367</v>
      </c>
      <c r="B814" s="285" t="s">
        <v>1211</v>
      </c>
      <c r="C814" s="459" t="s">
        <v>1211</v>
      </c>
    </row>
    <row r="815" spans="1:3" ht="26.4" x14ac:dyDescent="0.25">
      <c r="A815" s="81" t="s">
        <v>367</v>
      </c>
      <c r="B815" s="232" t="s">
        <v>1212</v>
      </c>
      <c r="C815" s="459" t="s">
        <v>1212</v>
      </c>
    </row>
    <row r="816" spans="1:3" ht="26.4" x14ac:dyDescent="0.25">
      <c r="A816" s="81" t="s">
        <v>367</v>
      </c>
      <c r="B816" s="232" t="s">
        <v>1213</v>
      </c>
      <c r="C816" s="459" t="s">
        <v>1213</v>
      </c>
    </row>
    <row r="817" spans="1:3" x14ac:dyDescent="0.25">
      <c r="A817" s="81" t="s">
        <v>367</v>
      </c>
      <c r="B817" s="231" t="s">
        <v>1214</v>
      </c>
      <c r="C817" s="458" t="s">
        <v>1214</v>
      </c>
    </row>
    <row r="818" spans="1:3" x14ac:dyDescent="0.25">
      <c r="A818" s="81" t="s">
        <v>367</v>
      </c>
      <c r="B818" s="283" t="s">
        <v>1215</v>
      </c>
      <c r="C818" s="458" t="s">
        <v>1215</v>
      </c>
    </row>
    <row r="819" spans="1:3" x14ac:dyDescent="0.25">
      <c r="A819" s="81" t="s">
        <v>367</v>
      </c>
      <c r="B819" s="283" t="s">
        <v>1216</v>
      </c>
      <c r="C819" s="458" t="s">
        <v>1216</v>
      </c>
    </row>
    <row r="820" spans="1:3" x14ac:dyDescent="0.25">
      <c r="A820" s="81" t="s">
        <v>367</v>
      </c>
      <c r="B820" s="283" t="s">
        <v>1217</v>
      </c>
      <c r="C820" s="458" t="s">
        <v>1217</v>
      </c>
    </row>
    <row r="821" spans="1:3" x14ac:dyDescent="0.25">
      <c r="A821" s="81" t="s">
        <v>367</v>
      </c>
      <c r="B821" s="283" t="s">
        <v>1218</v>
      </c>
      <c r="C821" s="458" t="s">
        <v>1218</v>
      </c>
    </row>
    <row r="822" spans="1:3" ht="26.4" x14ac:dyDescent="0.25">
      <c r="A822" s="81" t="s">
        <v>367</v>
      </c>
      <c r="B822" s="283" t="s">
        <v>1219</v>
      </c>
      <c r="C822" s="458" t="s">
        <v>1219</v>
      </c>
    </row>
    <row r="823" spans="1:3" ht="41.4" thickBot="1" x14ac:dyDescent="0.3">
      <c r="A823" s="81" t="s">
        <v>367</v>
      </c>
      <c r="B823" s="267" t="s">
        <v>1220</v>
      </c>
      <c r="C823" s="465" t="s">
        <v>1220</v>
      </c>
    </row>
    <row r="824" spans="1:3" ht="14.4" x14ac:dyDescent="0.25">
      <c r="A824" s="81">
        <v>823</v>
      </c>
      <c r="B824" s="282" t="s">
        <v>1221</v>
      </c>
      <c r="C824" s="432" t="s">
        <v>1221</v>
      </c>
    </row>
    <row r="825" spans="1:3" ht="14.4" x14ac:dyDescent="0.25">
      <c r="A825" s="81">
        <v>824</v>
      </c>
      <c r="B825" s="282" t="s">
        <v>1222</v>
      </c>
      <c r="C825" s="432" t="s">
        <v>1222</v>
      </c>
    </row>
    <row r="826" spans="1:3" ht="14.4" x14ac:dyDescent="0.25">
      <c r="A826" s="81">
        <v>825</v>
      </c>
      <c r="B826" s="282" t="s">
        <v>1223</v>
      </c>
      <c r="C826" s="432" t="s">
        <v>1223</v>
      </c>
    </row>
    <row r="827" spans="1:3" ht="14.4" x14ac:dyDescent="0.25">
      <c r="A827" s="81">
        <v>826</v>
      </c>
      <c r="B827" s="282" t="s">
        <v>1224</v>
      </c>
      <c r="C827" s="432" t="s">
        <v>1224</v>
      </c>
    </row>
    <row r="828" spans="1:3" ht="14.4" x14ac:dyDescent="0.25">
      <c r="A828" s="81">
        <v>827</v>
      </c>
      <c r="B828" s="282" t="s">
        <v>1225</v>
      </c>
      <c r="C828" s="432" t="s">
        <v>1225</v>
      </c>
    </row>
    <row r="829" spans="1:3" ht="14.4" x14ac:dyDescent="0.25">
      <c r="A829" s="81">
        <v>828</v>
      </c>
      <c r="B829" s="282" t="s">
        <v>1226</v>
      </c>
      <c r="C829" s="432" t="s">
        <v>1226</v>
      </c>
    </row>
    <row r="830" spans="1:3" ht="14.4" x14ac:dyDescent="0.25">
      <c r="A830" s="81">
        <v>829</v>
      </c>
      <c r="B830" s="282" t="s">
        <v>1227</v>
      </c>
      <c r="C830" s="432" t="s">
        <v>1227</v>
      </c>
    </row>
    <row r="831" spans="1:3" x14ac:dyDescent="0.25">
      <c r="A831" s="81">
        <v>830</v>
      </c>
      <c r="B831" s="280" t="s">
        <v>1228</v>
      </c>
      <c r="C831" s="458" t="s">
        <v>1228</v>
      </c>
    </row>
    <row r="832" spans="1:3" x14ac:dyDescent="0.25">
      <c r="A832" s="81" t="s">
        <v>367</v>
      </c>
      <c r="B832" s="233" t="s">
        <v>1229</v>
      </c>
      <c r="C832" s="458" t="s">
        <v>1229</v>
      </c>
    </row>
    <row r="833" spans="1:3" ht="34.799999999999997" x14ac:dyDescent="0.25">
      <c r="A833" s="81" t="s">
        <v>367</v>
      </c>
      <c r="B833" s="286" t="s">
        <v>1230</v>
      </c>
      <c r="C833" s="472" t="s">
        <v>1230</v>
      </c>
    </row>
    <row r="834" spans="1:3" ht="40.799999999999997" x14ac:dyDescent="0.25">
      <c r="A834" s="81" t="s">
        <v>367</v>
      </c>
      <c r="B834" s="248" t="s">
        <v>1231</v>
      </c>
      <c r="C834" s="465" t="s">
        <v>1231</v>
      </c>
    </row>
    <row r="835" spans="1:3" ht="39.6" x14ac:dyDescent="0.25">
      <c r="A835" s="81" t="s">
        <v>367</v>
      </c>
      <c r="B835" s="232" t="s">
        <v>1232</v>
      </c>
      <c r="C835" s="459" t="s">
        <v>1232</v>
      </c>
    </row>
    <row r="836" spans="1:3" ht="20.399999999999999" x14ac:dyDescent="0.25">
      <c r="A836" s="81" t="s">
        <v>367</v>
      </c>
      <c r="B836" s="256" t="s">
        <v>1233</v>
      </c>
      <c r="C836" s="465" t="s">
        <v>1233</v>
      </c>
    </row>
    <row r="837" spans="1:3" ht="26.4" x14ac:dyDescent="0.25">
      <c r="A837" s="81" t="s">
        <v>367</v>
      </c>
      <c r="B837" s="232" t="s">
        <v>1234</v>
      </c>
      <c r="C837" s="459" t="s">
        <v>1234</v>
      </c>
    </row>
    <row r="838" spans="1:3" x14ac:dyDescent="0.25">
      <c r="A838" s="81" t="s">
        <v>367</v>
      </c>
      <c r="B838" s="262" t="s">
        <v>1235</v>
      </c>
      <c r="C838" s="466" t="s">
        <v>1235</v>
      </c>
    </row>
    <row r="839" spans="1:3" ht="45.6" x14ac:dyDescent="0.25">
      <c r="A839" s="81" t="s">
        <v>367</v>
      </c>
      <c r="B839" s="275" t="s">
        <v>1236</v>
      </c>
      <c r="C839" s="464" t="s">
        <v>1236</v>
      </c>
    </row>
    <row r="840" spans="1:3" ht="49.2" x14ac:dyDescent="0.25">
      <c r="A840" s="125">
        <v>1000</v>
      </c>
      <c r="B840" s="205" t="s">
        <v>1237</v>
      </c>
      <c r="C840" s="433" t="s">
        <v>1237</v>
      </c>
    </row>
    <row r="841" spans="1:3" x14ac:dyDescent="0.25">
      <c r="A841" s="125">
        <v>1001</v>
      </c>
      <c r="B841" t="s">
        <v>1238</v>
      </c>
      <c r="C841" s="473" t="s">
        <v>1238</v>
      </c>
    </row>
    <row r="842" spans="1:3" x14ac:dyDescent="0.25">
      <c r="A842" s="125">
        <v>1002</v>
      </c>
      <c r="B842" s="10" t="s">
        <v>1239</v>
      </c>
      <c r="C842" s="473" t="s">
        <v>1239</v>
      </c>
    </row>
    <row r="843" spans="1:3" x14ac:dyDescent="0.25">
      <c r="A843" s="125">
        <v>1003</v>
      </c>
      <c r="B843" t="s">
        <v>1240</v>
      </c>
      <c r="C843" s="473" t="s">
        <v>1240</v>
      </c>
    </row>
    <row r="844" spans="1:3" x14ac:dyDescent="0.25">
      <c r="A844" s="125">
        <v>1004</v>
      </c>
      <c r="B844" t="s">
        <v>1241</v>
      </c>
      <c r="C844" s="473" t="s">
        <v>1241</v>
      </c>
    </row>
    <row r="845" spans="1:3" x14ac:dyDescent="0.25">
      <c r="A845" s="125">
        <v>1005</v>
      </c>
      <c r="B845" t="s">
        <v>1242</v>
      </c>
      <c r="C845" s="473" t="s">
        <v>1242</v>
      </c>
    </row>
    <row r="846" spans="1:3" x14ac:dyDescent="0.25">
      <c r="A846" s="125">
        <v>1006</v>
      </c>
      <c r="B846" t="s">
        <v>1243</v>
      </c>
      <c r="C846" s="473" t="s">
        <v>1243</v>
      </c>
    </row>
    <row r="847" spans="1:3" x14ac:dyDescent="0.25">
      <c r="A847" s="125" t="s">
        <v>367</v>
      </c>
      <c r="B847" t="s">
        <v>1244</v>
      </c>
      <c r="C847" s="473" t="s">
        <v>1244</v>
      </c>
    </row>
    <row r="848" spans="1:3" x14ac:dyDescent="0.25">
      <c r="A848" s="125">
        <v>1008</v>
      </c>
      <c r="B848" t="s">
        <v>1245</v>
      </c>
      <c r="C848" s="473" t="s">
        <v>1245</v>
      </c>
    </row>
    <row r="849" spans="1:3" x14ac:dyDescent="0.25">
      <c r="A849" s="125" t="s">
        <v>367</v>
      </c>
      <c r="B849" t="s">
        <v>1246</v>
      </c>
      <c r="C849" s="473" t="s">
        <v>1246</v>
      </c>
    </row>
    <row r="850" spans="1:3" x14ac:dyDescent="0.25">
      <c r="A850" s="125">
        <v>1010</v>
      </c>
      <c r="B850" s="212" t="s">
        <v>1247</v>
      </c>
      <c r="C850" s="434" t="s">
        <v>1247</v>
      </c>
    </row>
    <row r="851" spans="1:3" x14ac:dyDescent="0.25">
      <c r="A851" s="125">
        <v>1011</v>
      </c>
      <c r="B851" s="206" t="s">
        <v>1248</v>
      </c>
      <c r="C851" s="417" t="s">
        <v>1248</v>
      </c>
    </row>
    <row r="852" spans="1:3" x14ac:dyDescent="0.25">
      <c r="A852" s="125" t="s">
        <v>367</v>
      </c>
      <c r="B852" s="213" t="s">
        <v>1249</v>
      </c>
      <c r="C852" s="375" t="s">
        <v>1249</v>
      </c>
    </row>
    <row r="853" spans="1:3" ht="20.399999999999999" x14ac:dyDescent="0.25">
      <c r="A853" s="125">
        <v>1013</v>
      </c>
      <c r="B853" s="208" t="s">
        <v>1250</v>
      </c>
      <c r="C853" s="376" t="s">
        <v>1251</v>
      </c>
    </row>
    <row r="854" spans="1:3" x14ac:dyDescent="0.25">
      <c r="A854" s="125">
        <v>1014</v>
      </c>
      <c r="B854" s="214" t="s">
        <v>1252</v>
      </c>
      <c r="C854" s="377" t="s">
        <v>1252</v>
      </c>
    </row>
    <row r="855" spans="1:3" x14ac:dyDescent="0.25">
      <c r="A855" s="125">
        <v>1015</v>
      </c>
      <c r="B855" s="214" t="s">
        <v>1253</v>
      </c>
      <c r="C855" s="377" t="s">
        <v>1253</v>
      </c>
    </row>
    <row r="856" spans="1:3" x14ac:dyDescent="0.25">
      <c r="A856" s="125" t="s">
        <v>367</v>
      </c>
      <c r="B856" s="196" t="s">
        <v>1254</v>
      </c>
      <c r="C856" s="435" t="s">
        <v>1254</v>
      </c>
    </row>
    <row r="857" spans="1:3" ht="26.4" x14ac:dyDescent="0.25">
      <c r="A857" s="125">
        <v>1017</v>
      </c>
      <c r="B857" s="199" t="s">
        <v>1255</v>
      </c>
      <c r="C857" s="474" t="s">
        <v>1255</v>
      </c>
    </row>
    <row r="858" spans="1:3" x14ac:dyDescent="0.25">
      <c r="A858" s="125">
        <v>1018</v>
      </c>
      <c r="B858" s="196" t="s">
        <v>1256</v>
      </c>
      <c r="C858" s="435" t="s">
        <v>1256</v>
      </c>
    </row>
    <row r="859" spans="1:3" ht="52.8" x14ac:dyDescent="0.25">
      <c r="A859" s="125">
        <v>1019</v>
      </c>
      <c r="B859" s="196" t="s">
        <v>1257</v>
      </c>
      <c r="C859" s="435" t="s">
        <v>1257</v>
      </c>
    </row>
    <row r="860" spans="1:3" x14ac:dyDescent="0.25">
      <c r="A860" s="125">
        <v>1020</v>
      </c>
      <c r="B860" s="196" t="s">
        <v>1258</v>
      </c>
      <c r="C860" s="435" t="s">
        <v>1258</v>
      </c>
    </row>
    <row r="861" spans="1:3" ht="52.2" x14ac:dyDescent="0.25">
      <c r="A861" s="125" t="s">
        <v>367</v>
      </c>
      <c r="B861" s="200" t="s">
        <v>1259</v>
      </c>
      <c r="C861" s="475" t="s">
        <v>1259</v>
      </c>
    </row>
    <row r="862" spans="1:3" x14ac:dyDescent="0.25">
      <c r="A862" s="125" t="s">
        <v>367</v>
      </c>
      <c r="B862" t="s">
        <v>1260</v>
      </c>
      <c r="C862" s="473" t="s">
        <v>1260</v>
      </c>
    </row>
    <row r="863" spans="1:3" ht="105.6" x14ac:dyDescent="0.25">
      <c r="A863" s="125" t="s">
        <v>367</v>
      </c>
      <c r="B863" s="196" t="s">
        <v>1261</v>
      </c>
      <c r="C863" s="435" t="s">
        <v>1262</v>
      </c>
    </row>
    <row r="864" spans="1:3" ht="52.8" x14ac:dyDescent="0.25">
      <c r="A864" s="125" t="s">
        <v>367</v>
      </c>
      <c r="B864" s="196" t="s">
        <v>1263</v>
      </c>
      <c r="C864" s="435" t="s">
        <v>1263</v>
      </c>
    </row>
    <row r="865" spans="1:3" ht="52.8" x14ac:dyDescent="0.25">
      <c r="A865" s="125" t="s">
        <v>367</v>
      </c>
      <c r="B865" s="196" t="s">
        <v>1264</v>
      </c>
      <c r="C865" s="435" t="s">
        <v>1264</v>
      </c>
    </row>
    <row r="866" spans="1:3" ht="26.4" x14ac:dyDescent="0.25">
      <c r="A866" s="125" t="s">
        <v>367</v>
      </c>
      <c r="B866" s="196" t="s">
        <v>1265</v>
      </c>
      <c r="C866" s="435" t="s">
        <v>1265</v>
      </c>
    </row>
    <row r="867" spans="1:3" x14ac:dyDescent="0.25">
      <c r="A867" s="125">
        <v>1027</v>
      </c>
      <c r="B867" s="49" t="s">
        <v>1266</v>
      </c>
      <c r="C867" s="434" t="s">
        <v>1266</v>
      </c>
    </row>
    <row r="868" spans="1:3" ht="39.6" x14ac:dyDescent="0.25">
      <c r="A868" s="125">
        <v>1028</v>
      </c>
      <c r="B868" s="196" t="s">
        <v>1267</v>
      </c>
      <c r="C868" s="435" t="s">
        <v>1267</v>
      </c>
    </row>
    <row r="869" spans="1:3" ht="79.2" x14ac:dyDescent="0.25">
      <c r="A869" s="125">
        <v>1029</v>
      </c>
      <c r="B869" s="197" t="s">
        <v>1268</v>
      </c>
      <c r="C869" s="417" t="s">
        <v>1268</v>
      </c>
    </row>
    <row r="870" spans="1:3" ht="39.6" x14ac:dyDescent="0.25">
      <c r="A870" s="125">
        <v>1030</v>
      </c>
      <c r="B870" s="196" t="s">
        <v>1269</v>
      </c>
      <c r="C870" s="435" t="s">
        <v>1269</v>
      </c>
    </row>
    <row r="871" spans="1:3" ht="52.8" x14ac:dyDescent="0.25">
      <c r="A871" s="125">
        <v>1031</v>
      </c>
      <c r="B871" s="194" t="s">
        <v>1270</v>
      </c>
      <c r="C871" s="435" t="s">
        <v>1270</v>
      </c>
    </row>
    <row r="872" spans="1:3" ht="66" x14ac:dyDescent="0.25">
      <c r="A872" s="125">
        <v>1032</v>
      </c>
      <c r="B872" s="198" t="s">
        <v>1271</v>
      </c>
      <c r="C872" s="435" t="s">
        <v>1271</v>
      </c>
    </row>
    <row r="873" spans="1:3" ht="66.599999999999994" thickBot="1" x14ac:dyDescent="0.3">
      <c r="A873" s="125">
        <v>1033</v>
      </c>
      <c r="B873" s="194" t="s">
        <v>1272</v>
      </c>
      <c r="C873" s="435" t="s">
        <v>1272</v>
      </c>
    </row>
    <row r="874" spans="1:3" ht="93" thickBot="1" x14ac:dyDescent="0.3">
      <c r="A874" s="125">
        <v>1034</v>
      </c>
      <c r="B874" s="195" t="s">
        <v>1273</v>
      </c>
      <c r="C874" s="417" t="s">
        <v>1273</v>
      </c>
    </row>
    <row r="875" spans="1:3" ht="26.4" x14ac:dyDescent="0.25">
      <c r="A875" s="125">
        <v>1035</v>
      </c>
      <c r="B875" s="215" t="s">
        <v>1274</v>
      </c>
      <c r="C875" s="417" t="s">
        <v>1274</v>
      </c>
    </row>
    <row r="876" spans="1:3" ht="17.399999999999999" x14ac:dyDescent="0.25">
      <c r="A876" s="125">
        <v>1036</v>
      </c>
      <c r="B876" s="207" t="s">
        <v>1275</v>
      </c>
      <c r="C876" s="436" t="s">
        <v>1275</v>
      </c>
    </row>
    <row r="877" spans="1:3" ht="15.6" x14ac:dyDescent="0.3">
      <c r="A877" s="125" t="s">
        <v>367</v>
      </c>
      <c r="B877" s="85" t="s">
        <v>1276</v>
      </c>
      <c r="C877" s="381" t="s">
        <v>1276</v>
      </c>
    </row>
    <row r="878" spans="1:3" x14ac:dyDescent="0.25">
      <c r="A878" s="125">
        <v>1038</v>
      </c>
      <c r="B878" s="202" t="s">
        <v>1277</v>
      </c>
      <c r="C878" s="380" t="s">
        <v>1277</v>
      </c>
    </row>
    <row r="879" spans="1:3" ht="15.6" x14ac:dyDescent="0.3">
      <c r="A879" s="125">
        <v>1039</v>
      </c>
      <c r="B879" s="85" t="s">
        <v>1278</v>
      </c>
      <c r="C879" s="381" t="s">
        <v>1278</v>
      </c>
    </row>
    <row r="880" spans="1:3" x14ac:dyDescent="0.25">
      <c r="A880" s="125">
        <v>1040</v>
      </c>
      <c r="B880" s="202" t="s">
        <v>1279</v>
      </c>
      <c r="C880" s="380" t="s">
        <v>1279</v>
      </c>
    </row>
    <row r="881" spans="1:3" ht="30.6" x14ac:dyDescent="0.25">
      <c r="A881" s="125">
        <v>1041</v>
      </c>
      <c r="B881" s="202" t="s">
        <v>1280</v>
      </c>
      <c r="C881" s="380" t="s">
        <v>1280</v>
      </c>
    </row>
    <row r="882" spans="1:3" ht="20.399999999999999" x14ac:dyDescent="0.25">
      <c r="A882" s="125">
        <v>1042</v>
      </c>
      <c r="B882" s="202" t="s">
        <v>1281</v>
      </c>
      <c r="C882" s="380" t="s">
        <v>1281</v>
      </c>
    </row>
    <row r="883" spans="1:3" x14ac:dyDescent="0.25">
      <c r="A883" s="125">
        <v>1043</v>
      </c>
      <c r="B883" s="74" t="s">
        <v>1282</v>
      </c>
      <c r="C883" s="378" t="s">
        <v>1282</v>
      </c>
    </row>
    <row r="884" spans="1:3" x14ac:dyDescent="0.25">
      <c r="A884" s="125">
        <v>1044</v>
      </c>
      <c r="B884" s="121" t="s">
        <v>1283</v>
      </c>
      <c r="C884" s="378" t="s">
        <v>1283</v>
      </c>
    </row>
    <row r="885" spans="1:3" ht="20.399999999999999" x14ac:dyDescent="0.25">
      <c r="A885" s="125">
        <v>1045</v>
      </c>
      <c r="B885" s="201" t="s">
        <v>1284</v>
      </c>
      <c r="C885" s="380" t="s">
        <v>1284</v>
      </c>
    </row>
    <row r="886" spans="1:3" ht="20.399999999999999" x14ac:dyDescent="0.25">
      <c r="A886" s="125">
        <v>1046</v>
      </c>
      <c r="B886" s="201" t="s">
        <v>1285</v>
      </c>
      <c r="C886" s="380" t="s">
        <v>1285</v>
      </c>
    </row>
    <row r="887" spans="1:3" x14ac:dyDescent="0.25">
      <c r="A887" s="125" t="s">
        <v>367</v>
      </c>
      <c r="B887" s="121" t="s">
        <v>1286</v>
      </c>
      <c r="C887" s="378" t="s">
        <v>1286</v>
      </c>
    </row>
    <row r="888" spans="1:3" x14ac:dyDescent="0.25">
      <c r="A888" s="125">
        <v>1048</v>
      </c>
      <c r="B888" s="121" t="s">
        <v>1287</v>
      </c>
      <c r="C888" s="378" t="s">
        <v>1287</v>
      </c>
    </row>
    <row r="889" spans="1:3" x14ac:dyDescent="0.25">
      <c r="A889" s="125" t="s">
        <v>367</v>
      </c>
      <c r="B889" s="216" t="s">
        <v>1288</v>
      </c>
      <c r="C889" s="378" t="s">
        <v>1288</v>
      </c>
    </row>
    <row r="890" spans="1:3" ht="20.399999999999999" x14ac:dyDescent="0.25">
      <c r="A890" s="125">
        <v>1050</v>
      </c>
      <c r="B890" s="201" t="s">
        <v>1289</v>
      </c>
      <c r="C890" s="380" t="s">
        <v>1289</v>
      </c>
    </row>
    <row r="891" spans="1:3" x14ac:dyDescent="0.25">
      <c r="A891" s="125" t="s">
        <v>367</v>
      </c>
      <c r="B891" s="216" t="s">
        <v>1290</v>
      </c>
      <c r="C891" s="378" t="s">
        <v>1290</v>
      </c>
    </row>
    <row r="892" spans="1:3" ht="20.399999999999999" x14ac:dyDescent="0.25">
      <c r="A892" s="125" t="s">
        <v>367</v>
      </c>
      <c r="B892" s="201" t="s">
        <v>1291</v>
      </c>
      <c r="C892" s="380" t="s">
        <v>1291</v>
      </c>
    </row>
    <row r="893" spans="1:3" x14ac:dyDescent="0.25">
      <c r="A893" s="125">
        <v>1053</v>
      </c>
      <c r="B893" s="201" t="s">
        <v>1292</v>
      </c>
      <c r="C893" s="380" t="s">
        <v>1292</v>
      </c>
    </row>
    <row r="894" spans="1:3" x14ac:dyDescent="0.25">
      <c r="A894" s="125">
        <v>1054</v>
      </c>
      <c r="B894" s="74" t="s">
        <v>1293</v>
      </c>
      <c r="C894" s="378" t="s">
        <v>1293</v>
      </c>
    </row>
    <row r="895" spans="1:3" x14ac:dyDescent="0.25">
      <c r="A895" s="125">
        <v>1055</v>
      </c>
      <c r="B895" s="216" t="s">
        <v>1294</v>
      </c>
      <c r="C895" s="378" t="s">
        <v>1294</v>
      </c>
    </row>
    <row r="896" spans="1:3" x14ac:dyDescent="0.25">
      <c r="A896" s="125">
        <v>1056</v>
      </c>
      <c r="B896" s="201" t="s">
        <v>1295</v>
      </c>
      <c r="C896" s="380" t="s">
        <v>1295</v>
      </c>
    </row>
    <row r="897" spans="1:3" x14ac:dyDescent="0.25">
      <c r="A897" s="125">
        <v>1057</v>
      </c>
      <c r="B897" t="s">
        <v>1296</v>
      </c>
      <c r="C897" s="473" t="s">
        <v>1296</v>
      </c>
    </row>
    <row r="898" spans="1:3" ht="17.399999999999999" x14ac:dyDescent="0.25">
      <c r="A898" s="125">
        <v>1058</v>
      </c>
      <c r="B898" s="207" t="s">
        <v>1297</v>
      </c>
      <c r="C898" s="436" t="s">
        <v>1297</v>
      </c>
    </row>
    <row r="899" spans="1:3" x14ac:dyDescent="0.25">
      <c r="A899" s="125">
        <v>1059</v>
      </c>
      <c r="B899" s="64" t="s">
        <v>1298</v>
      </c>
      <c r="C899" s="379" t="s">
        <v>1298</v>
      </c>
    </row>
    <row r="900" spans="1:3" x14ac:dyDescent="0.25">
      <c r="A900" s="125">
        <v>1060</v>
      </c>
      <c r="B900" s="64" t="s">
        <v>1299</v>
      </c>
      <c r="C900" s="379" t="s">
        <v>1299</v>
      </c>
    </row>
    <row r="901" spans="1:3" x14ac:dyDescent="0.25">
      <c r="A901" s="125">
        <v>1061</v>
      </c>
      <c r="B901" s="64" t="s">
        <v>1300</v>
      </c>
      <c r="C901" s="379" t="s">
        <v>1300</v>
      </c>
    </row>
    <row r="902" spans="1:3" ht="39.6" x14ac:dyDescent="0.25">
      <c r="A902" s="125">
        <v>1062</v>
      </c>
      <c r="B902" s="204" t="s">
        <v>1301</v>
      </c>
      <c r="C902" s="379" t="s">
        <v>1301</v>
      </c>
    </row>
    <row r="903" spans="1:3" x14ac:dyDescent="0.25">
      <c r="A903" s="125">
        <v>1063</v>
      </c>
      <c r="B903" s="55" t="s">
        <v>1302</v>
      </c>
      <c r="C903" s="379" t="s">
        <v>1302</v>
      </c>
    </row>
    <row r="904" spans="1:3" x14ac:dyDescent="0.25">
      <c r="A904" s="125">
        <v>1064</v>
      </c>
      <c r="B904" s="74" t="s">
        <v>62</v>
      </c>
      <c r="C904" s="378" t="s">
        <v>62</v>
      </c>
    </row>
    <row r="905" spans="1:3" ht="20.399999999999999" x14ac:dyDescent="0.25">
      <c r="A905" s="125">
        <v>1065</v>
      </c>
      <c r="B905" s="80" t="s">
        <v>63</v>
      </c>
      <c r="C905" s="380" t="s">
        <v>63</v>
      </c>
    </row>
    <row r="906" spans="1:3" x14ac:dyDescent="0.25">
      <c r="A906" s="125">
        <v>1066</v>
      </c>
      <c r="B906" s="217" t="s">
        <v>64</v>
      </c>
      <c r="C906" s="437" t="s">
        <v>64</v>
      </c>
    </row>
    <row r="907" spans="1:3" ht="30.6" x14ac:dyDescent="0.25">
      <c r="A907" s="125">
        <v>1067</v>
      </c>
      <c r="B907" s="218" t="s">
        <v>65</v>
      </c>
      <c r="C907" s="376" t="s">
        <v>65</v>
      </c>
    </row>
    <row r="908" spans="1:3" x14ac:dyDescent="0.25">
      <c r="A908" s="125">
        <v>1068</v>
      </c>
      <c r="B908" s="218" t="s">
        <v>67</v>
      </c>
      <c r="C908" s="376" t="s">
        <v>67</v>
      </c>
    </row>
    <row r="909" spans="1:3" x14ac:dyDescent="0.25">
      <c r="A909" s="125">
        <v>1069</v>
      </c>
      <c r="B909" s="217" t="s">
        <v>68</v>
      </c>
      <c r="C909" s="437" t="s">
        <v>68</v>
      </c>
    </row>
    <row r="910" spans="1:3" ht="40.799999999999997" x14ac:dyDescent="0.25">
      <c r="A910" s="125" t="s">
        <v>367</v>
      </c>
      <c r="B910" s="218" t="s">
        <v>1303</v>
      </c>
      <c r="C910" s="376" t="s">
        <v>1303</v>
      </c>
    </row>
    <row r="911" spans="1:3" x14ac:dyDescent="0.25">
      <c r="A911" s="125">
        <v>1071</v>
      </c>
      <c r="B911" s="217" t="s">
        <v>70</v>
      </c>
      <c r="C911" s="437" t="s">
        <v>70</v>
      </c>
    </row>
    <row r="912" spans="1:3" ht="30.6" x14ac:dyDescent="0.25">
      <c r="A912" s="125">
        <v>1072</v>
      </c>
      <c r="B912" s="218" t="s">
        <v>71</v>
      </c>
      <c r="C912" s="376" t="s">
        <v>71</v>
      </c>
    </row>
    <row r="913" spans="1:3" ht="20.399999999999999" x14ac:dyDescent="0.25">
      <c r="A913" s="125">
        <v>1073</v>
      </c>
      <c r="B913" s="217" t="s">
        <v>72</v>
      </c>
      <c r="C913" s="437" t="s">
        <v>72</v>
      </c>
    </row>
    <row r="914" spans="1:3" x14ac:dyDescent="0.25">
      <c r="A914" s="125">
        <v>1074</v>
      </c>
      <c r="B914" s="221" t="s">
        <v>73</v>
      </c>
      <c r="C914" s="438" t="s">
        <v>73</v>
      </c>
    </row>
    <row r="915" spans="1:3" x14ac:dyDescent="0.25">
      <c r="A915" s="125">
        <v>1075</v>
      </c>
      <c r="B915" s="221" t="s">
        <v>74</v>
      </c>
      <c r="C915" s="438" t="s">
        <v>74</v>
      </c>
    </row>
    <row r="916" spans="1:3" ht="20.399999999999999" x14ac:dyDescent="0.25">
      <c r="A916" s="125">
        <v>1076</v>
      </c>
      <c r="B916" s="221" t="s">
        <v>75</v>
      </c>
      <c r="C916" s="438" t="s">
        <v>75</v>
      </c>
    </row>
    <row r="917" spans="1:3" x14ac:dyDescent="0.25">
      <c r="A917" s="125">
        <v>1077</v>
      </c>
      <c r="B917" s="221" t="s">
        <v>76</v>
      </c>
      <c r="C917" s="438" t="s">
        <v>76</v>
      </c>
    </row>
    <row r="918" spans="1:3" x14ac:dyDescent="0.25">
      <c r="A918" s="125">
        <v>1078</v>
      </c>
      <c r="B918" s="221" t="s">
        <v>77</v>
      </c>
      <c r="C918" s="438" t="s">
        <v>77</v>
      </c>
    </row>
    <row r="919" spans="1:3" x14ac:dyDescent="0.25">
      <c r="A919" s="125">
        <v>1079</v>
      </c>
      <c r="B919" s="221" t="s">
        <v>78</v>
      </c>
      <c r="C919" s="438" t="s">
        <v>78</v>
      </c>
    </row>
    <row r="920" spans="1:3" x14ac:dyDescent="0.25">
      <c r="A920" s="125" t="s">
        <v>367</v>
      </c>
      <c r="B920" s="400" t="s">
        <v>1304</v>
      </c>
      <c r="C920" s="439" t="s">
        <v>1304</v>
      </c>
    </row>
    <row r="921" spans="1:3" x14ac:dyDescent="0.25">
      <c r="A921" s="125">
        <v>1081</v>
      </c>
      <c r="B921" s="80" t="s">
        <v>83</v>
      </c>
      <c r="C921" s="380" t="s">
        <v>83</v>
      </c>
    </row>
    <row r="922" spans="1:3" x14ac:dyDescent="0.25">
      <c r="A922" s="125" t="s">
        <v>367</v>
      </c>
      <c r="B922" s="74" t="s">
        <v>1305</v>
      </c>
      <c r="C922" s="378" t="s">
        <v>1305</v>
      </c>
    </row>
    <row r="923" spans="1:3" ht="20.399999999999999" x14ac:dyDescent="0.25">
      <c r="A923" s="125">
        <v>1083</v>
      </c>
      <c r="B923" s="80" t="s">
        <v>1306</v>
      </c>
      <c r="C923" s="380" t="s">
        <v>1306</v>
      </c>
    </row>
    <row r="924" spans="1:3" x14ac:dyDescent="0.25">
      <c r="A924" s="125">
        <v>1084</v>
      </c>
      <c r="B924" s="217" t="s">
        <v>1307</v>
      </c>
      <c r="C924" s="437" t="s">
        <v>1307</v>
      </c>
    </row>
    <row r="925" spans="1:3" ht="20.399999999999999" x14ac:dyDescent="0.25">
      <c r="A925" s="125">
        <v>1085</v>
      </c>
      <c r="B925" s="218" t="s">
        <v>1308</v>
      </c>
      <c r="C925" s="376" t="s">
        <v>1308</v>
      </c>
    </row>
    <row r="926" spans="1:3" x14ac:dyDescent="0.25">
      <c r="A926" s="125">
        <v>1086</v>
      </c>
      <c r="B926" s="217" t="s">
        <v>1309</v>
      </c>
      <c r="C926" s="437" t="s">
        <v>1309</v>
      </c>
    </row>
    <row r="927" spans="1:3" ht="20.399999999999999" x14ac:dyDescent="0.25">
      <c r="A927" s="125">
        <v>1087</v>
      </c>
      <c r="B927" s="218" t="s">
        <v>1310</v>
      </c>
      <c r="C927" s="376" t="s">
        <v>1310</v>
      </c>
    </row>
    <row r="928" spans="1:3" ht="20.399999999999999" x14ac:dyDescent="0.25">
      <c r="A928" s="125">
        <v>1088</v>
      </c>
      <c r="B928" s="217" t="s">
        <v>1311</v>
      </c>
      <c r="C928" s="437" t="s">
        <v>1311</v>
      </c>
    </row>
    <row r="929" spans="1:5" ht="20.399999999999999" x14ac:dyDescent="0.25">
      <c r="A929" s="125">
        <v>1089</v>
      </c>
      <c r="B929" s="218" t="s">
        <v>1312</v>
      </c>
      <c r="C929" s="376" t="s">
        <v>1312</v>
      </c>
    </row>
    <row r="930" spans="1:5" x14ac:dyDescent="0.25">
      <c r="A930" s="125">
        <v>1090</v>
      </c>
      <c r="B930" s="217" t="s">
        <v>1313</v>
      </c>
      <c r="C930" s="437" t="s">
        <v>1313</v>
      </c>
    </row>
    <row r="931" spans="1:5" x14ac:dyDescent="0.25">
      <c r="A931" s="125">
        <v>1091</v>
      </c>
      <c r="B931" s="218" t="s">
        <v>1314</v>
      </c>
      <c r="C931" s="376" t="s">
        <v>1314</v>
      </c>
    </row>
    <row r="932" spans="1:5" x14ac:dyDescent="0.25">
      <c r="A932" s="125">
        <v>1092</v>
      </c>
      <c r="B932" s="217" t="s">
        <v>1315</v>
      </c>
      <c r="C932" s="437" t="s">
        <v>1315</v>
      </c>
    </row>
    <row r="933" spans="1:5" ht="20.399999999999999" x14ac:dyDescent="0.25">
      <c r="A933" s="125">
        <v>1093</v>
      </c>
      <c r="B933" s="218" t="s">
        <v>1316</v>
      </c>
      <c r="C933" s="376" t="s">
        <v>1316</v>
      </c>
    </row>
    <row r="934" spans="1:5" ht="20.399999999999999" x14ac:dyDescent="0.25">
      <c r="A934" s="125">
        <v>1094</v>
      </c>
      <c r="B934" s="221" t="s">
        <v>1317</v>
      </c>
      <c r="C934" s="438" t="s">
        <v>1317</v>
      </c>
    </row>
    <row r="935" spans="1:5" x14ac:dyDescent="0.25">
      <c r="A935" s="125">
        <v>1095</v>
      </c>
      <c r="B935" s="221" t="s">
        <v>1318</v>
      </c>
      <c r="C935" s="438" t="s">
        <v>1318</v>
      </c>
    </row>
    <row r="936" spans="1:5" ht="20.399999999999999" x14ac:dyDescent="0.25">
      <c r="A936" s="125">
        <v>1096</v>
      </c>
      <c r="B936" s="80" t="s">
        <v>1319</v>
      </c>
      <c r="C936" s="380" t="s">
        <v>1319</v>
      </c>
    </row>
    <row r="937" spans="1:5" x14ac:dyDescent="0.25">
      <c r="A937" s="125" t="s">
        <v>367</v>
      </c>
      <c r="B937" s="219" t="s">
        <v>1320</v>
      </c>
      <c r="C937" s="379" t="s">
        <v>1320</v>
      </c>
    </row>
    <row r="938" spans="1:5" ht="66" x14ac:dyDescent="0.25">
      <c r="A938" s="125">
        <v>1098</v>
      </c>
      <c r="B938" s="203" t="s">
        <v>1321</v>
      </c>
      <c r="C938" s="379" t="s">
        <v>1322</v>
      </c>
    </row>
    <row r="939" spans="1:5" x14ac:dyDescent="0.25">
      <c r="A939" s="125">
        <v>1099</v>
      </c>
      <c r="B939" s="220" t="s">
        <v>1323</v>
      </c>
      <c r="C939" s="440" t="s">
        <v>1323</v>
      </c>
    </row>
    <row r="940" spans="1:5" x14ac:dyDescent="0.25">
      <c r="A940" s="125">
        <v>1100</v>
      </c>
      <c r="B940" s="220" t="s">
        <v>1324</v>
      </c>
      <c r="C940" s="440" t="s">
        <v>1324</v>
      </c>
    </row>
    <row r="941" spans="1:5" x14ac:dyDescent="0.25">
      <c r="A941" s="125" t="s">
        <v>367</v>
      </c>
      <c r="B941" s="74" t="s">
        <v>1325</v>
      </c>
      <c r="C941" s="378" t="s">
        <v>1325</v>
      </c>
    </row>
    <row r="942" spans="1:5" ht="20.399999999999999" x14ac:dyDescent="0.25">
      <c r="A942" s="125" t="s">
        <v>367</v>
      </c>
      <c r="B942" s="80" t="s">
        <v>1326</v>
      </c>
      <c r="C942" s="380" t="s">
        <v>1326</v>
      </c>
    </row>
    <row r="943" spans="1:5" x14ac:dyDescent="0.25">
      <c r="A943" s="125" t="s">
        <v>367</v>
      </c>
      <c r="B943" s="221" t="s">
        <v>1327</v>
      </c>
      <c r="C943" s="438" t="s">
        <v>1327</v>
      </c>
    </row>
    <row r="944" spans="1:5" ht="26.4" x14ac:dyDescent="0.25">
      <c r="A944" s="125">
        <v>1104</v>
      </c>
      <c r="B944" s="55" t="s">
        <v>1328</v>
      </c>
      <c r="C944" s="379" t="s">
        <v>1328</v>
      </c>
      <c r="E944" s="540" t="s">
        <v>1329</v>
      </c>
    </row>
    <row r="945" spans="1:3" ht="20.399999999999999" x14ac:dyDescent="0.25">
      <c r="A945" s="125">
        <v>1105</v>
      </c>
      <c r="B945" s="80" t="s">
        <v>1330</v>
      </c>
      <c r="C945" s="380" t="s">
        <v>1331</v>
      </c>
    </row>
    <row r="946" spans="1:3" ht="26.4" x14ac:dyDescent="0.25">
      <c r="A946" s="125">
        <v>1106</v>
      </c>
      <c r="B946" s="55" t="s">
        <v>1332</v>
      </c>
      <c r="C946" s="379" t="s">
        <v>1333</v>
      </c>
    </row>
    <row r="947" spans="1:3" x14ac:dyDescent="0.25">
      <c r="A947" s="125">
        <v>1107</v>
      </c>
      <c r="B947" s="80" t="s">
        <v>1334</v>
      </c>
      <c r="C947" s="380" t="s">
        <v>1334</v>
      </c>
    </row>
    <row r="948" spans="1:3" x14ac:dyDescent="0.25">
      <c r="A948" s="125">
        <v>1108</v>
      </c>
      <c r="B948" s="222" t="s">
        <v>1335</v>
      </c>
      <c r="C948" s="416" t="s">
        <v>1335</v>
      </c>
    </row>
    <row r="949" spans="1:3" x14ac:dyDescent="0.25">
      <c r="A949" s="125">
        <v>1109</v>
      </c>
      <c r="B949" s="222" t="s">
        <v>1336</v>
      </c>
      <c r="C949" s="416" t="s">
        <v>1336</v>
      </c>
    </row>
    <row r="950" spans="1:3" x14ac:dyDescent="0.25">
      <c r="A950" s="125">
        <v>1110</v>
      </c>
      <c r="B950" s="223" t="s">
        <v>1337</v>
      </c>
      <c r="C950" s="441" t="s">
        <v>1337</v>
      </c>
    </row>
    <row r="951" spans="1:3" x14ac:dyDescent="0.25">
      <c r="A951" s="125">
        <v>1111</v>
      </c>
      <c r="B951" s="223" t="s">
        <v>1338</v>
      </c>
      <c r="C951" s="441" t="s">
        <v>1338</v>
      </c>
    </row>
    <row r="952" spans="1:3" x14ac:dyDescent="0.25">
      <c r="A952" s="125">
        <v>1112</v>
      </c>
      <c r="B952" s="223" t="s">
        <v>1339</v>
      </c>
      <c r="C952" s="441" t="s">
        <v>1339</v>
      </c>
    </row>
    <row r="953" spans="1:3" x14ac:dyDescent="0.25">
      <c r="A953" s="125">
        <v>1113</v>
      </c>
      <c r="B953" s="222" t="s">
        <v>1340</v>
      </c>
      <c r="C953" s="416" t="s">
        <v>1340</v>
      </c>
    </row>
    <row r="954" spans="1:3" x14ac:dyDescent="0.25">
      <c r="A954" s="125">
        <v>1114</v>
      </c>
      <c r="B954" s="55" t="s">
        <v>1341</v>
      </c>
      <c r="C954" s="379" t="s">
        <v>1341</v>
      </c>
    </row>
    <row r="955" spans="1:3" x14ac:dyDescent="0.25">
      <c r="A955" s="125">
        <v>1115</v>
      </c>
      <c r="B955" s="290" t="s">
        <v>1342</v>
      </c>
      <c r="C955" s="442" t="s">
        <v>1342</v>
      </c>
    </row>
    <row r="956" spans="1:3" x14ac:dyDescent="0.25">
      <c r="A956" s="125">
        <v>1116</v>
      </c>
      <c r="B956" s="74" t="s">
        <v>1343</v>
      </c>
      <c r="C956" s="378" t="s">
        <v>1343</v>
      </c>
    </row>
    <row r="957" spans="1:3" ht="20.399999999999999" x14ac:dyDescent="0.25">
      <c r="A957" s="125" t="s">
        <v>367</v>
      </c>
      <c r="B957" s="224" t="s">
        <v>1344</v>
      </c>
      <c r="C957" s="437" t="s">
        <v>1344</v>
      </c>
    </row>
    <row r="958" spans="1:3" ht="20.399999999999999" x14ac:dyDescent="0.25">
      <c r="A958" s="125">
        <v>1118</v>
      </c>
      <c r="B958" s="80" t="s">
        <v>1345</v>
      </c>
      <c r="C958" s="380" t="s">
        <v>1345</v>
      </c>
    </row>
    <row r="959" spans="1:3" ht="30.6" x14ac:dyDescent="0.25">
      <c r="A959" s="125">
        <v>1119</v>
      </c>
      <c r="B959" s="80" t="s">
        <v>1346</v>
      </c>
      <c r="C959" s="380" t="s">
        <v>1346</v>
      </c>
    </row>
    <row r="960" spans="1:3" x14ac:dyDescent="0.25">
      <c r="A960" s="125">
        <v>1120</v>
      </c>
      <c r="B960" s="55" t="s">
        <v>1347</v>
      </c>
      <c r="C960" s="379" t="s">
        <v>1347</v>
      </c>
    </row>
    <row r="961" spans="1:5" ht="20.399999999999999" x14ac:dyDescent="0.25">
      <c r="A961" s="125">
        <v>1121</v>
      </c>
      <c r="B961" s="202" t="s">
        <v>1348</v>
      </c>
      <c r="C961" s="380" t="s">
        <v>1348</v>
      </c>
      <c r="E961" s="540" t="s">
        <v>1349</v>
      </c>
    </row>
    <row r="962" spans="1:5" ht="30.6" x14ac:dyDescent="0.25">
      <c r="A962" s="125">
        <v>1122</v>
      </c>
      <c r="B962" s="225" t="s">
        <v>1350</v>
      </c>
      <c r="C962" s="437" t="s">
        <v>1350</v>
      </c>
    </row>
    <row r="963" spans="1:5" x14ac:dyDescent="0.25">
      <c r="A963" s="125">
        <v>1123</v>
      </c>
      <c r="B963" s="80" t="s">
        <v>1351</v>
      </c>
      <c r="C963" s="380" t="s">
        <v>1351</v>
      </c>
    </row>
    <row r="964" spans="1:5" x14ac:dyDescent="0.25">
      <c r="A964" s="125">
        <v>1124</v>
      </c>
      <c r="B964" s="217" t="s">
        <v>1352</v>
      </c>
      <c r="C964" s="437" t="s">
        <v>1352</v>
      </c>
    </row>
    <row r="965" spans="1:5" ht="20.399999999999999" x14ac:dyDescent="0.25">
      <c r="A965" s="125">
        <v>1125</v>
      </c>
      <c r="B965" s="218" t="s">
        <v>1353</v>
      </c>
      <c r="C965" s="376" t="s">
        <v>1353</v>
      </c>
    </row>
    <row r="966" spans="1:5" x14ac:dyDescent="0.25">
      <c r="A966" s="125">
        <v>1126</v>
      </c>
      <c r="B966" s="217" t="s">
        <v>1354</v>
      </c>
      <c r="C966" s="437" t="s">
        <v>1354</v>
      </c>
    </row>
    <row r="967" spans="1:5" x14ac:dyDescent="0.25">
      <c r="A967" s="125">
        <v>1127</v>
      </c>
      <c r="B967" s="218" t="s">
        <v>1355</v>
      </c>
      <c r="C967" s="376" t="s">
        <v>1355</v>
      </c>
    </row>
    <row r="968" spans="1:5" x14ac:dyDescent="0.25">
      <c r="A968" s="125">
        <v>1128</v>
      </c>
      <c r="B968" s="217" t="s">
        <v>1356</v>
      </c>
      <c r="C968" s="437" t="s">
        <v>1356</v>
      </c>
    </row>
    <row r="969" spans="1:5" ht="20.399999999999999" x14ac:dyDescent="0.25">
      <c r="A969" s="125">
        <v>1129</v>
      </c>
      <c r="B969" s="218" t="s">
        <v>1357</v>
      </c>
      <c r="C969" s="376" t="s">
        <v>1357</v>
      </c>
    </row>
    <row r="970" spans="1:5" x14ac:dyDescent="0.25">
      <c r="A970" s="125">
        <v>1130</v>
      </c>
      <c r="B970" s="217" t="s">
        <v>1358</v>
      </c>
      <c r="C970" s="437" t="s">
        <v>1358</v>
      </c>
    </row>
    <row r="971" spans="1:5" ht="20.399999999999999" x14ac:dyDescent="0.25">
      <c r="A971" s="125">
        <v>1131</v>
      </c>
      <c r="B971" s="218" t="s">
        <v>1359</v>
      </c>
      <c r="C971" s="376" t="s">
        <v>1359</v>
      </c>
    </row>
    <row r="972" spans="1:5" x14ac:dyDescent="0.25">
      <c r="A972" s="125">
        <v>1132</v>
      </c>
      <c r="B972" s="217" t="s">
        <v>1360</v>
      </c>
      <c r="C972" s="437" t="s">
        <v>1360</v>
      </c>
    </row>
    <row r="973" spans="1:5" x14ac:dyDescent="0.25">
      <c r="A973" s="125" t="s">
        <v>367</v>
      </c>
      <c r="B973" s="218" t="s">
        <v>1361</v>
      </c>
      <c r="C973" s="376" t="s">
        <v>1361</v>
      </c>
    </row>
    <row r="974" spans="1:5" x14ac:dyDescent="0.25">
      <c r="A974" s="125">
        <v>1134</v>
      </c>
      <c r="B974" s="10" t="s">
        <v>1362</v>
      </c>
      <c r="C974" s="473" t="s">
        <v>1362</v>
      </c>
    </row>
    <row r="975" spans="1:5" ht="17.399999999999999" x14ac:dyDescent="0.25">
      <c r="A975" s="125" t="s">
        <v>367</v>
      </c>
      <c r="B975" s="226" t="s">
        <v>1363</v>
      </c>
      <c r="C975" s="443" t="s">
        <v>1363</v>
      </c>
    </row>
    <row r="976" spans="1:5" ht="39.6" x14ac:dyDescent="0.25">
      <c r="A976" s="125">
        <v>1136</v>
      </c>
      <c r="B976" s="55" t="s">
        <v>1364</v>
      </c>
      <c r="C976" s="379" t="s">
        <v>1365</v>
      </c>
    </row>
    <row r="977" spans="1:3" ht="66" x14ac:dyDescent="0.25">
      <c r="A977" s="125">
        <v>1137</v>
      </c>
      <c r="B977" s="55" t="s">
        <v>1366</v>
      </c>
      <c r="C977" s="379" t="s">
        <v>1366</v>
      </c>
    </row>
    <row r="978" spans="1:3" ht="26.4" x14ac:dyDescent="0.25">
      <c r="A978" s="125">
        <v>1138</v>
      </c>
      <c r="B978" s="55" t="s">
        <v>1367</v>
      </c>
      <c r="C978" s="379" t="s">
        <v>1367</v>
      </c>
    </row>
    <row r="979" spans="1:3" x14ac:dyDescent="0.25">
      <c r="A979" s="125">
        <v>1139</v>
      </c>
      <c r="B979" s="222" t="s">
        <v>1368</v>
      </c>
      <c r="C979" s="416" t="s">
        <v>1368</v>
      </c>
    </row>
    <row r="980" spans="1:3" x14ac:dyDescent="0.25">
      <c r="A980" s="125">
        <v>1140</v>
      </c>
      <c r="B980" s="222" t="s">
        <v>1369</v>
      </c>
      <c r="C980" s="416" t="s">
        <v>1369</v>
      </c>
    </row>
    <row r="981" spans="1:3" ht="20.399999999999999" x14ac:dyDescent="0.25">
      <c r="A981" s="125">
        <v>1141</v>
      </c>
      <c r="B981" s="221" t="s">
        <v>1370</v>
      </c>
      <c r="C981" s="438" t="s">
        <v>1370</v>
      </c>
    </row>
    <row r="982" spans="1:3" x14ac:dyDescent="0.25">
      <c r="A982" s="125">
        <v>1142</v>
      </c>
      <c r="B982" s="420" t="s">
        <v>1371</v>
      </c>
      <c r="C982" s="437" t="s">
        <v>1371</v>
      </c>
    </row>
    <row r="983" spans="1:3" x14ac:dyDescent="0.25">
      <c r="A983" s="125">
        <v>1143</v>
      </c>
      <c r="B983" s="420" t="s">
        <v>1372</v>
      </c>
      <c r="C983" s="437" t="s">
        <v>1372</v>
      </c>
    </row>
    <row r="984" spans="1:3" x14ac:dyDescent="0.25">
      <c r="A984" s="125">
        <v>1144</v>
      </c>
      <c r="B984" s="221" t="s">
        <v>1373</v>
      </c>
      <c r="C984" s="438" t="s">
        <v>1374</v>
      </c>
    </row>
    <row r="985" spans="1:3" x14ac:dyDescent="0.25">
      <c r="A985" s="125">
        <v>1145</v>
      </c>
      <c r="B985" s="421" t="s">
        <v>1375</v>
      </c>
      <c r="C985" s="437" t="s">
        <v>1375</v>
      </c>
    </row>
    <row r="986" spans="1:3" x14ac:dyDescent="0.25">
      <c r="A986" s="125" t="s">
        <v>367</v>
      </c>
      <c r="B986" s="421" t="s">
        <v>1376</v>
      </c>
      <c r="C986" s="437" t="s">
        <v>1376</v>
      </c>
    </row>
    <row r="987" spans="1:3" x14ac:dyDescent="0.25">
      <c r="A987" s="125" t="s">
        <v>367</v>
      </c>
      <c r="B987" s="422" t="s">
        <v>1377</v>
      </c>
      <c r="C987" s="380" t="s">
        <v>1377</v>
      </c>
    </row>
    <row r="988" spans="1:3" x14ac:dyDescent="0.25">
      <c r="A988" s="125">
        <v>1148</v>
      </c>
      <c r="B988" s="422" t="s">
        <v>1378</v>
      </c>
      <c r="C988" s="380" t="s">
        <v>1378</v>
      </c>
    </row>
    <row r="989" spans="1:3" x14ac:dyDescent="0.25">
      <c r="A989" s="125">
        <v>1149</v>
      </c>
      <c r="B989" s="69" t="s">
        <v>1379</v>
      </c>
      <c r="C989" s="442" t="s">
        <v>1379</v>
      </c>
    </row>
    <row r="990" spans="1:3" x14ac:dyDescent="0.25">
      <c r="A990" s="125">
        <v>1150</v>
      </c>
      <c r="B990" s="69" t="s">
        <v>1380</v>
      </c>
      <c r="C990" s="442" t="s">
        <v>1380</v>
      </c>
    </row>
    <row r="991" spans="1:3" ht="26.4" x14ac:dyDescent="0.25">
      <c r="A991" s="125">
        <v>1151</v>
      </c>
      <c r="B991" s="55" t="s">
        <v>1381</v>
      </c>
      <c r="C991" s="379" t="s">
        <v>1381</v>
      </c>
    </row>
    <row r="992" spans="1:3" x14ac:dyDescent="0.25">
      <c r="A992" s="125" t="s">
        <v>367</v>
      </c>
      <c r="B992" s="131" t="s">
        <v>1382</v>
      </c>
      <c r="C992" s="444" t="s">
        <v>1382</v>
      </c>
    </row>
    <row r="993" spans="1:3" x14ac:dyDescent="0.25">
      <c r="A993" s="125">
        <v>1153</v>
      </c>
      <c r="B993" s="221" t="s">
        <v>1383</v>
      </c>
      <c r="C993" s="438" t="s">
        <v>1383</v>
      </c>
    </row>
    <row r="994" spans="1:3" x14ac:dyDescent="0.25">
      <c r="A994" s="125">
        <v>1154</v>
      </c>
      <c r="B994" s="423" t="s">
        <v>1384</v>
      </c>
      <c r="C994" s="445" t="s">
        <v>1384</v>
      </c>
    </row>
    <row r="995" spans="1:3" ht="26.4" x14ac:dyDescent="0.25">
      <c r="A995" s="125" t="s">
        <v>367</v>
      </c>
      <c r="B995" s="55" t="s">
        <v>1385</v>
      </c>
      <c r="C995" s="379" t="s">
        <v>1385</v>
      </c>
    </row>
    <row r="996" spans="1:3" x14ac:dyDescent="0.25">
      <c r="A996" s="125">
        <v>1156</v>
      </c>
      <c r="B996" s="221" t="s">
        <v>1386</v>
      </c>
      <c r="C996" s="438" t="s">
        <v>1386</v>
      </c>
    </row>
    <row r="997" spans="1:3" x14ac:dyDescent="0.25">
      <c r="A997" s="125">
        <v>1157</v>
      </c>
      <c r="B997" s="221" t="s">
        <v>1387</v>
      </c>
      <c r="C997" s="438" t="s">
        <v>1387</v>
      </c>
    </row>
    <row r="998" spans="1:3" x14ac:dyDescent="0.25">
      <c r="A998" s="125">
        <v>1158</v>
      </c>
      <c r="B998" s="223" t="s">
        <v>1388</v>
      </c>
      <c r="C998" s="441" t="s">
        <v>1388</v>
      </c>
    </row>
    <row r="999" spans="1:3" x14ac:dyDescent="0.25">
      <c r="A999" s="125">
        <v>1159</v>
      </c>
      <c r="B999" s="55" t="s">
        <v>1389</v>
      </c>
      <c r="C999" s="379" t="s">
        <v>1389</v>
      </c>
    </row>
    <row r="1000" spans="1:3" x14ac:dyDescent="0.25">
      <c r="A1000" s="125">
        <v>1160</v>
      </c>
      <c r="B1000" s="221" t="s">
        <v>1390</v>
      </c>
      <c r="C1000" s="438" t="s">
        <v>1390</v>
      </c>
    </row>
    <row r="1001" spans="1:3" x14ac:dyDescent="0.25">
      <c r="A1001" s="125">
        <v>1161</v>
      </c>
      <c r="B1001" s="221" t="s">
        <v>1391</v>
      </c>
      <c r="C1001" s="438" t="s">
        <v>1391</v>
      </c>
    </row>
    <row r="1002" spans="1:3" x14ac:dyDescent="0.25">
      <c r="A1002" s="125">
        <v>1162</v>
      </c>
      <c r="B1002" s="221" t="s">
        <v>1392</v>
      </c>
      <c r="C1002" s="438" t="s">
        <v>1392</v>
      </c>
    </row>
    <row r="1003" spans="1:3" ht="26.4" x14ac:dyDescent="0.25">
      <c r="A1003" s="125" t="s">
        <v>367</v>
      </c>
      <c r="B1003" s="55" t="s">
        <v>1393</v>
      </c>
      <c r="C1003" s="379" t="s">
        <v>1393</v>
      </c>
    </row>
    <row r="1004" spans="1:3" ht="30.6" x14ac:dyDescent="0.25">
      <c r="A1004" s="125" t="s">
        <v>367</v>
      </c>
      <c r="B1004" s="202" t="s">
        <v>1394</v>
      </c>
      <c r="C1004" s="380" t="s">
        <v>1394</v>
      </c>
    </row>
    <row r="1005" spans="1:3" x14ac:dyDescent="0.25">
      <c r="A1005" s="125">
        <v>1165</v>
      </c>
      <c r="B1005" s="424" t="s">
        <v>1395</v>
      </c>
      <c r="C1005" s="438" t="s">
        <v>1395</v>
      </c>
    </row>
    <row r="1006" spans="1:3" x14ac:dyDescent="0.25">
      <c r="A1006" s="125">
        <v>1166</v>
      </c>
      <c r="B1006" s="424" t="s">
        <v>1396</v>
      </c>
      <c r="C1006" s="438" t="s">
        <v>1396</v>
      </c>
    </row>
    <row r="1007" spans="1:3" x14ac:dyDescent="0.25">
      <c r="A1007" s="125">
        <v>1167</v>
      </c>
      <c r="B1007" s="424" t="s">
        <v>1397</v>
      </c>
      <c r="C1007" s="438" t="s">
        <v>1397</v>
      </c>
    </row>
    <row r="1008" spans="1:3" ht="20.399999999999999" x14ac:dyDescent="0.25">
      <c r="A1008" s="125">
        <v>1168</v>
      </c>
      <c r="B1008" s="424" t="s">
        <v>1398</v>
      </c>
      <c r="C1008" s="438" t="s">
        <v>1398</v>
      </c>
    </row>
    <row r="1009" spans="1:3" x14ac:dyDescent="0.25">
      <c r="A1009" s="125">
        <v>1169</v>
      </c>
      <c r="B1009" s="221" t="s">
        <v>1399</v>
      </c>
      <c r="C1009" s="438" t="s">
        <v>1399</v>
      </c>
    </row>
    <row r="1010" spans="1:3" x14ac:dyDescent="0.25">
      <c r="A1010" s="125">
        <v>1170</v>
      </c>
      <c r="B1010" s="221" t="s">
        <v>1400</v>
      </c>
      <c r="C1010" s="438" t="s">
        <v>1400</v>
      </c>
    </row>
    <row r="1011" spans="1:3" x14ac:dyDescent="0.25">
      <c r="A1011" s="125">
        <v>1171</v>
      </c>
      <c r="B1011" s="221" t="s">
        <v>1401</v>
      </c>
      <c r="C1011" s="438" t="s">
        <v>1401</v>
      </c>
    </row>
    <row r="1012" spans="1:3" x14ac:dyDescent="0.25">
      <c r="A1012" s="125" t="s">
        <v>367</v>
      </c>
      <c r="B1012" s="77" t="s">
        <v>1402</v>
      </c>
      <c r="C1012" s="416" t="s">
        <v>1402</v>
      </c>
    </row>
    <row r="1013" spans="1:3" x14ac:dyDescent="0.25">
      <c r="A1013" s="125">
        <v>1173</v>
      </c>
      <c r="B1013" t="s">
        <v>1403</v>
      </c>
      <c r="C1013" s="473" t="s">
        <v>1403</v>
      </c>
    </row>
    <row r="1014" spans="1:3" ht="15.6" x14ac:dyDescent="0.3">
      <c r="A1014" s="125" t="s">
        <v>367</v>
      </c>
      <c r="B1014" s="85" t="s">
        <v>1404</v>
      </c>
      <c r="C1014" s="381" t="s">
        <v>1404</v>
      </c>
    </row>
    <row r="1015" spans="1:3" x14ac:dyDescent="0.25">
      <c r="A1015" s="125">
        <v>1175</v>
      </c>
      <c r="B1015" s="74" t="s">
        <v>1405</v>
      </c>
      <c r="C1015" s="378" t="s">
        <v>1405</v>
      </c>
    </row>
    <row r="1016" spans="1:3" ht="26.4" x14ac:dyDescent="0.25">
      <c r="A1016" s="125">
        <v>1176</v>
      </c>
      <c r="B1016" s="55" t="s">
        <v>1406</v>
      </c>
      <c r="C1016" s="379" t="s">
        <v>1407</v>
      </c>
    </row>
    <row r="1017" spans="1:3" ht="20.399999999999999" x14ac:dyDescent="0.25">
      <c r="A1017" s="125">
        <v>1177</v>
      </c>
      <c r="B1017" s="202" t="s">
        <v>1408</v>
      </c>
      <c r="C1017" s="380" t="s">
        <v>1408</v>
      </c>
    </row>
    <row r="1018" spans="1:3" ht="20.399999999999999" x14ac:dyDescent="0.25">
      <c r="A1018" s="125">
        <v>1178</v>
      </c>
      <c r="B1018" s="202" t="s">
        <v>1409</v>
      </c>
      <c r="C1018" s="380" t="s">
        <v>1409</v>
      </c>
    </row>
    <row r="1019" spans="1:3" x14ac:dyDescent="0.25">
      <c r="A1019" s="125">
        <v>1179</v>
      </c>
      <c r="B1019" s="221" t="s">
        <v>1410</v>
      </c>
      <c r="C1019" s="438" t="s">
        <v>1410</v>
      </c>
    </row>
    <row r="1020" spans="1:3" x14ac:dyDescent="0.25">
      <c r="A1020" s="125">
        <v>1180</v>
      </c>
      <c r="B1020" s="221" t="s">
        <v>1411</v>
      </c>
      <c r="C1020" s="438" t="s">
        <v>1411</v>
      </c>
    </row>
    <row r="1021" spans="1:3" ht="20.399999999999999" x14ac:dyDescent="0.25">
      <c r="A1021" s="125">
        <v>1181</v>
      </c>
      <c r="B1021" s="221" t="s">
        <v>1412</v>
      </c>
      <c r="C1021" s="438" t="s">
        <v>1413</v>
      </c>
    </row>
    <row r="1022" spans="1:3" x14ac:dyDescent="0.25">
      <c r="A1022" s="125">
        <v>1182</v>
      </c>
      <c r="B1022" s="209" t="s">
        <v>1414</v>
      </c>
      <c r="C1022" s="446" t="s">
        <v>1414</v>
      </c>
    </row>
    <row r="1023" spans="1:3" x14ac:dyDescent="0.25">
      <c r="A1023" s="125">
        <v>1183</v>
      </c>
      <c r="B1023" s="210" t="s">
        <v>1415</v>
      </c>
      <c r="C1023" s="446" t="s">
        <v>1415</v>
      </c>
    </row>
    <row r="1024" spans="1:3" x14ac:dyDescent="0.25">
      <c r="A1024" s="125">
        <v>1184</v>
      </c>
      <c r="B1024" s="425" t="s">
        <v>1416</v>
      </c>
      <c r="C1024" s="441" t="s">
        <v>1416</v>
      </c>
    </row>
    <row r="1025" spans="1:3" ht="15.6" x14ac:dyDescent="0.25">
      <c r="A1025" s="125">
        <v>1185</v>
      </c>
      <c r="B1025" s="103" t="s">
        <v>1417</v>
      </c>
      <c r="C1025" s="381" t="s">
        <v>1417</v>
      </c>
    </row>
    <row r="1026" spans="1:3" x14ac:dyDescent="0.25">
      <c r="A1026" s="125">
        <v>1186</v>
      </c>
      <c r="B1026" s="221" t="s">
        <v>1418</v>
      </c>
      <c r="C1026" s="438" t="s">
        <v>1418</v>
      </c>
    </row>
    <row r="1027" spans="1:3" x14ac:dyDescent="0.25">
      <c r="A1027" s="125">
        <v>1187</v>
      </c>
      <c r="B1027" s="426" t="s">
        <v>1419</v>
      </c>
      <c r="C1027" s="378" t="s">
        <v>1419</v>
      </c>
    </row>
    <row r="1028" spans="1:3" x14ac:dyDescent="0.25">
      <c r="A1028" s="125">
        <v>1188</v>
      </c>
      <c r="B1028" s="426" t="s">
        <v>1420</v>
      </c>
      <c r="C1028" s="378" t="s">
        <v>1420</v>
      </c>
    </row>
    <row r="1029" spans="1:3" x14ac:dyDescent="0.25">
      <c r="A1029" s="125">
        <v>1189</v>
      </c>
      <c r="B1029" s="227" t="s">
        <v>1421</v>
      </c>
      <c r="C1029" s="434" t="s">
        <v>1421</v>
      </c>
    </row>
    <row r="1030" spans="1:3" x14ac:dyDescent="0.25">
      <c r="A1030" s="125">
        <v>1190</v>
      </c>
      <c r="B1030" s="227" t="s">
        <v>1422</v>
      </c>
      <c r="C1030" s="434" t="s">
        <v>1422</v>
      </c>
    </row>
    <row r="1031" spans="1:3" x14ac:dyDescent="0.25">
      <c r="A1031" s="125">
        <v>1191</v>
      </c>
      <c r="B1031" s="227" t="s">
        <v>1423</v>
      </c>
      <c r="C1031" s="434" t="s">
        <v>1423</v>
      </c>
    </row>
    <row r="1032" spans="1:3" x14ac:dyDescent="0.25">
      <c r="A1032" s="125">
        <v>1192</v>
      </c>
      <c r="B1032" s="211" t="s">
        <v>1424</v>
      </c>
      <c r="C1032" s="434" t="s">
        <v>1424</v>
      </c>
    </row>
    <row r="1033" spans="1:3" x14ac:dyDescent="0.25">
      <c r="A1033" s="125">
        <v>1193</v>
      </c>
      <c r="B1033" s="70" t="s">
        <v>1425</v>
      </c>
      <c r="C1033" s="476" t="s">
        <v>1425</v>
      </c>
    </row>
    <row r="1034" spans="1:3" ht="105.6" x14ac:dyDescent="0.25">
      <c r="A1034" s="125" t="s">
        <v>367</v>
      </c>
      <c r="B1034" s="288" t="s">
        <v>1426</v>
      </c>
      <c r="C1034" s="476" t="s">
        <v>1426</v>
      </c>
    </row>
    <row r="1035" spans="1:3" ht="26.4" x14ac:dyDescent="0.25">
      <c r="A1035" s="125">
        <v>1195</v>
      </c>
      <c r="B1035" s="288" t="s">
        <v>1427</v>
      </c>
      <c r="C1035" s="476" t="s">
        <v>1427</v>
      </c>
    </row>
    <row r="1036" spans="1:3" x14ac:dyDescent="0.25">
      <c r="A1036" s="125" t="s">
        <v>367</v>
      </c>
      <c r="B1036" s="69" t="s">
        <v>1428</v>
      </c>
      <c r="C1036" s="69" t="s">
        <v>1428</v>
      </c>
    </row>
    <row r="1037" spans="1:3" ht="49.2" x14ac:dyDescent="0.25">
      <c r="A1037" s="125" t="s">
        <v>367</v>
      </c>
      <c r="B1037" s="205" t="s">
        <v>1429</v>
      </c>
      <c r="C1037" s="433" t="s">
        <v>1429</v>
      </c>
    </row>
    <row r="1038" spans="1:3" ht="24.6" x14ac:dyDescent="0.25">
      <c r="A1038" s="125" t="s">
        <v>367</v>
      </c>
      <c r="B1038" s="408" t="s">
        <v>1430</v>
      </c>
      <c r="C1038" s="433" t="s">
        <v>1430</v>
      </c>
    </row>
    <row r="1039" spans="1:3" ht="13.8" x14ac:dyDescent="0.3">
      <c r="A1039" s="125">
        <v>2002</v>
      </c>
      <c r="B1039" t="s">
        <v>1431</v>
      </c>
      <c r="C1039" s="13" t="s">
        <v>1431</v>
      </c>
    </row>
    <row r="1040" spans="1:3" x14ac:dyDescent="0.25">
      <c r="A1040" s="125" t="s">
        <v>367</v>
      </c>
      <c r="B1040" t="s">
        <v>1432</v>
      </c>
      <c r="C1040" s="13" t="s">
        <v>1432</v>
      </c>
    </row>
    <row r="1041" spans="1:3" x14ac:dyDescent="0.25">
      <c r="A1041" s="125">
        <v>2004</v>
      </c>
      <c r="B1041" t="s">
        <v>1433</v>
      </c>
      <c r="C1041" s="13" t="s">
        <v>1433</v>
      </c>
    </row>
    <row r="1042" spans="1:3" x14ac:dyDescent="0.25">
      <c r="A1042" s="125">
        <v>2005</v>
      </c>
      <c r="B1042" s="314" t="s">
        <v>1434</v>
      </c>
      <c r="C1042" s="435" t="s">
        <v>1434</v>
      </c>
    </row>
    <row r="1043" spans="1:3" x14ac:dyDescent="0.25">
      <c r="A1043" s="125">
        <v>2006</v>
      </c>
      <c r="B1043" s="314" t="s">
        <v>1435</v>
      </c>
      <c r="C1043" s="435" t="s">
        <v>1435</v>
      </c>
    </row>
    <row r="1044" spans="1:3" x14ac:dyDescent="0.25">
      <c r="A1044" s="125">
        <v>2007</v>
      </c>
      <c r="B1044" s="395" t="s">
        <v>1436</v>
      </c>
      <c r="C1044" s="417" t="s">
        <v>1436</v>
      </c>
    </row>
    <row r="1045" spans="1:3" x14ac:dyDescent="0.25">
      <c r="A1045" s="125">
        <v>2008</v>
      </c>
      <c r="B1045" s="213" t="s">
        <v>1437</v>
      </c>
      <c r="C1045" s="375" t="s">
        <v>1437</v>
      </c>
    </row>
    <row r="1046" spans="1:3" x14ac:dyDescent="0.25">
      <c r="A1046" s="125">
        <v>2009</v>
      </c>
      <c r="B1046" s="396" t="s">
        <v>1438</v>
      </c>
      <c r="C1046" s="435" t="s">
        <v>1438</v>
      </c>
    </row>
    <row r="1047" spans="1:3" x14ac:dyDescent="0.25">
      <c r="A1047" s="125">
        <v>2010</v>
      </c>
      <c r="B1047" s="396" t="s">
        <v>1439</v>
      </c>
      <c r="C1047" s="435" t="s">
        <v>1439</v>
      </c>
    </row>
    <row r="1048" spans="1:3" x14ac:dyDescent="0.25">
      <c r="A1048" s="125">
        <v>2011</v>
      </c>
      <c r="B1048" s="396" t="s">
        <v>1440</v>
      </c>
      <c r="C1048" s="435" t="s">
        <v>1440</v>
      </c>
    </row>
    <row r="1049" spans="1:3" x14ac:dyDescent="0.25">
      <c r="A1049" s="125">
        <v>2012</v>
      </c>
      <c r="B1049" s="206" t="s">
        <v>1441</v>
      </c>
      <c r="C1049" s="417" t="s">
        <v>1441</v>
      </c>
    </row>
    <row r="1050" spans="1:3" ht="79.2" x14ac:dyDescent="0.25">
      <c r="A1050" s="125">
        <v>2013</v>
      </c>
      <c r="B1050" s="338" t="s">
        <v>1442</v>
      </c>
      <c r="C1050" s="435" t="s">
        <v>1442</v>
      </c>
    </row>
    <row r="1051" spans="1:3" x14ac:dyDescent="0.25">
      <c r="A1051" s="125">
        <v>2014</v>
      </c>
      <c r="B1051" s="314" t="s">
        <v>1443</v>
      </c>
      <c r="C1051" s="435" t="s">
        <v>1443</v>
      </c>
    </row>
    <row r="1052" spans="1:3" x14ac:dyDescent="0.25">
      <c r="A1052" s="125" t="s">
        <v>367</v>
      </c>
      <c r="B1052" t="s">
        <v>1444</v>
      </c>
      <c r="C1052" s="13" t="s">
        <v>1444</v>
      </c>
    </row>
    <row r="1053" spans="1:3" ht="39.6" x14ac:dyDescent="0.25">
      <c r="A1053" s="125">
        <v>2016</v>
      </c>
      <c r="B1053" s="314" t="s">
        <v>1445</v>
      </c>
      <c r="C1053" s="435" t="s">
        <v>1445</v>
      </c>
    </row>
    <row r="1054" spans="1:3" ht="66" x14ac:dyDescent="0.25">
      <c r="A1054" s="125">
        <v>2017</v>
      </c>
      <c r="B1054" s="314" t="s">
        <v>1446</v>
      </c>
      <c r="C1054" s="435" t="s">
        <v>1446</v>
      </c>
    </row>
    <row r="1055" spans="1:3" x14ac:dyDescent="0.25">
      <c r="A1055" s="125">
        <v>2018</v>
      </c>
      <c r="B1055" s="314" t="s">
        <v>1447</v>
      </c>
      <c r="C1055" s="435" t="s">
        <v>1447</v>
      </c>
    </row>
    <row r="1056" spans="1:3" x14ac:dyDescent="0.25">
      <c r="A1056" s="125">
        <v>2019</v>
      </c>
      <c r="B1056" t="s">
        <v>1448</v>
      </c>
      <c r="C1056" s="13" t="s">
        <v>1448</v>
      </c>
    </row>
    <row r="1057" spans="1:3" ht="26.4" x14ac:dyDescent="0.25">
      <c r="A1057" s="125" t="s">
        <v>367</v>
      </c>
      <c r="B1057" s="314" t="s">
        <v>1449</v>
      </c>
      <c r="C1057" s="435" t="s">
        <v>1449</v>
      </c>
    </row>
    <row r="1058" spans="1:3" x14ac:dyDescent="0.25">
      <c r="A1058" s="125" t="s">
        <v>367</v>
      </c>
      <c r="B1058" t="s">
        <v>1450</v>
      </c>
      <c r="C1058" s="13" t="s">
        <v>1450</v>
      </c>
    </row>
    <row r="1059" spans="1:3" ht="52.8" x14ac:dyDescent="0.25">
      <c r="A1059" s="125" t="s">
        <v>367</v>
      </c>
      <c r="B1059" s="314" t="s">
        <v>1451</v>
      </c>
      <c r="C1059" s="435" t="s">
        <v>1451</v>
      </c>
    </row>
    <row r="1060" spans="1:3" ht="39.6" x14ac:dyDescent="0.25">
      <c r="A1060" s="125" t="s">
        <v>367</v>
      </c>
      <c r="B1060" s="314" t="s">
        <v>1452</v>
      </c>
      <c r="C1060" s="435" t="s">
        <v>1452</v>
      </c>
    </row>
    <row r="1061" spans="1:3" x14ac:dyDescent="0.25">
      <c r="A1061" s="125" t="s">
        <v>367</v>
      </c>
      <c r="B1061" t="s">
        <v>1453</v>
      </c>
      <c r="C1061" s="13" t="s">
        <v>1453</v>
      </c>
    </row>
    <row r="1062" spans="1:3" x14ac:dyDescent="0.25">
      <c r="A1062" s="125">
        <v>2025</v>
      </c>
      <c r="B1062" s="395" t="s">
        <v>1454</v>
      </c>
      <c r="C1062" s="417" t="s">
        <v>1454</v>
      </c>
    </row>
    <row r="1063" spans="1:3" ht="39.6" x14ac:dyDescent="0.25">
      <c r="A1063" s="125">
        <v>2026</v>
      </c>
      <c r="B1063" s="314" t="s">
        <v>1455</v>
      </c>
      <c r="C1063" s="435" t="s">
        <v>1455</v>
      </c>
    </row>
    <row r="1064" spans="1:3" ht="39.6" x14ac:dyDescent="0.25">
      <c r="A1064" s="125">
        <v>2027</v>
      </c>
      <c r="B1064" s="314" t="s">
        <v>1456</v>
      </c>
      <c r="C1064" s="435" t="s">
        <v>1456</v>
      </c>
    </row>
    <row r="1065" spans="1:3" x14ac:dyDescent="0.25">
      <c r="A1065" s="125">
        <v>2028</v>
      </c>
      <c r="B1065" s="314" t="s">
        <v>1457</v>
      </c>
      <c r="C1065" s="435" t="s">
        <v>1457</v>
      </c>
    </row>
    <row r="1066" spans="1:3" x14ac:dyDescent="0.25">
      <c r="A1066" s="125">
        <v>2029</v>
      </c>
      <c r="B1066" t="s">
        <v>1458</v>
      </c>
      <c r="C1066" s="13" t="s">
        <v>1458</v>
      </c>
    </row>
    <row r="1067" spans="1:3" ht="52.8" x14ac:dyDescent="0.25">
      <c r="A1067" s="125">
        <v>2030</v>
      </c>
      <c r="B1067" s="314" t="s">
        <v>1459</v>
      </c>
      <c r="C1067" s="435" t="s">
        <v>1459</v>
      </c>
    </row>
    <row r="1068" spans="1:3" x14ac:dyDescent="0.25">
      <c r="A1068" s="125">
        <v>2031</v>
      </c>
      <c r="B1068" s="395" t="s">
        <v>1460</v>
      </c>
      <c r="C1068" s="417" t="s">
        <v>1460</v>
      </c>
    </row>
    <row r="1069" spans="1:3" ht="66" x14ac:dyDescent="0.25">
      <c r="A1069" s="125">
        <v>2032</v>
      </c>
      <c r="B1069" s="314" t="s">
        <v>1461</v>
      </c>
      <c r="C1069" s="435" t="s">
        <v>1461</v>
      </c>
    </row>
    <row r="1070" spans="1:3" ht="39.6" x14ac:dyDescent="0.25">
      <c r="A1070" s="125">
        <v>2033</v>
      </c>
      <c r="B1070" s="314" t="s">
        <v>1462</v>
      </c>
      <c r="C1070" s="435" t="s">
        <v>1462</v>
      </c>
    </row>
    <row r="1071" spans="1:3" ht="39.6" x14ac:dyDescent="0.25">
      <c r="A1071" s="125">
        <v>2034</v>
      </c>
      <c r="B1071" s="314" t="s">
        <v>1463</v>
      </c>
      <c r="C1071" s="435" t="s">
        <v>1463</v>
      </c>
    </row>
    <row r="1072" spans="1:3" ht="26.4" x14ac:dyDescent="0.25">
      <c r="A1072" s="125">
        <v>2035</v>
      </c>
      <c r="B1072" s="314" t="s">
        <v>1464</v>
      </c>
      <c r="C1072" s="435" t="s">
        <v>1464</v>
      </c>
    </row>
    <row r="1073" spans="1:3" ht="39.6" x14ac:dyDescent="0.25">
      <c r="A1073" s="125">
        <v>2036</v>
      </c>
      <c r="B1073" s="314" t="s">
        <v>1465</v>
      </c>
      <c r="C1073" s="435" t="s">
        <v>1465</v>
      </c>
    </row>
    <row r="1074" spans="1:3" ht="39.6" x14ac:dyDescent="0.25">
      <c r="A1074" s="125">
        <v>2037</v>
      </c>
      <c r="B1074" s="314" t="s">
        <v>1466</v>
      </c>
      <c r="C1074" s="435" t="s">
        <v>1466</v>
      </c>
    </row>
    <row r="1075" spans="1:3" x14ac:dyDescent="0.25">
      <c r="A1075" s="125" t="s">
        <v>367</v>
      </c>
      <c r="B1075" t="s">
        <v>1467</v>
      </c>
      <c r="C1075" s="13" t="s">
        <v>1467</v>
      </c>
    </row>
    <row r="1076" spans="1:3" ht="79.2" x14ac:dyDescent="0.25">
      <c r="A1076" s="125">
        <v>2039</v>
      </c>
      <c r="B1076" s="314" t="s">
        <v>1468</v>
      </c>
      <c r="C1076" s="435" t="s">
        <v>1468</v>
      </c>
    </row>
    <row r="1077" spans="1:3" x14ac:dyDescent="0.25">
      <c r="A1077" s="125">
        <v>2040</v>
      </c>
      <c r="B1077" s="395" t="s">
        <v>1469</v>
      </c>
      <c r="C1077" s="417" t="s">
        <v>1469</v>
      </c>
    </row>
    <row r="1078" spans="1:3" ht="26.4" x14ac:dyDescent="0.25">
      <c r="A1078" s="125">
        <v>2041</v>
      </c>
      <c r="B1078" s="314" t="s">
        <v>1470</v>
      </c>
      <c r="C1078" s="435" t="s">
        <v>1470</v>
      </c>
    </row>
    <row r="1079" spans="1:3" ht="104.4" x14ac:dyDescent="0.25">
      <c r="A1079" s="125" t="s">
        <v>367</v>
      </c>
      <c r="B1079" s="200" t="s">
        <v>1471</v>
      </c>
      <c r="C1079" s="475" t="s">
        <v>1472</v>
      </c>
    </row>
    <row r="1080" spans="1:3" x14ac:dyDescent="0.25">
      <c r="A1080" s="125" t="s">
        <v>367</v>
      </c>
      <c r="B1080" s="409" t="s">
        <v>1473</v>
      </c>
      <c r="C1080" s="477" t="s">
        <v>1473</v>
      </c>
    </row>
    <row r="1081" spans="1:3" ht="66" x14ac:dyDescent="0.25">
      <c r="A1081" s="125">
        <v>2044</v>
      </c>
      <c r="B1081" s="396" t="s">
        <v>1474</v>
      </c>
      <c r="C1081" s="435" t="s">
        <v>1474</v>
      </c>
    </row>
    <row r="1082" spans="1:3" ht="66" x14ac:dyDescent="0.25">
      <c r="A1082" s="125">
        <v>2045</v>
      </c>
      <c r="B1082" s="395" t="s">
        <v>1475</v>
      </c>
      <c r="C1082" s="417" t="s">
        <v>1475</v>
      </c>
    </row>
    <row r="1083" spans="1:3" ht="26.4" x14ac:dyDescent="0.25">
      <c r="A1083" s="125">
        <v>2046</v>
      </c>
      <c r="B1083" s="206" t="s">
        <v>1476</v>
      </c>
      <c r="C1083" s="417" t="s">
        <v>1476</v>
      </c>
    </row>
    <row r="1084" spans="1:3" ht="66" x14ac:dyDescent="0.25">
      <c r="A1084" s="125">
        <v>2047</v>
      </c>
      <c r="B1084" s="206" t="s">
        <v>1477</v>
      </c>
      <c r="C1084" s="417" t="s">
        <v>1477</v>
      </c>
    </row>
    <row r="1085" spans="1:3" x14ac:dyDescent="0.25">
      <c r="A1085" s="125">
        <v>2048</v>
      </c>
      <c r="B1085" s="410" t="s">
        <v>1478</v>
      </c>
      <c r="C1085" s="375" t="s">
        <v>1478</v>
      </c>
    </row>
    <row r="1086" spans="1:3" ht="27" thickBot="1" x14ac:dyDescent="0.3">
      <c r="A1086" s="125">
        <v>2049</v>
      </c>
      <c r="B1086" s="396" t="s">
        <v>1479</v>
      </c>
      <c r="C1086" s="435" t="s">
        <v>1479</v>
      </c>
    </row>
    <row r="1087" spans="1:3" ht="53.4" thickBot="1" x14ac:dyDescent="0.3">
      <c r="A1087" s="125">
        <v>2050</v>
      </c>
      <c r="B1087" s="397" t="s">
        <v>1480</v>
      </c>
      <c r="C1087" s="435" t="s">
        <v>1480</v>
      </c>
    </row>
    <row r="1088" spans="1:3" ht="15.6" x14ac:dyDescent="0.3">
      <c r="A1088" s="125">
        <v>2051</v>
      </c>
      <c r="B1088" s="85" t="s">
        <v>1481</v>
      </c>
      <c r="C1088" s="381" t="s">
        <v>1481</v>
      </c>
    </row>
    <row r="1089" spans="1:3" x14ac:dyDescent="0.25">
      <c r="A1089" s="125">
        <v>2052</v>
      </c>
      <c r="B1089" s="395" t="s">
        <v>1482</v>
      </c>
      <c r="C1089" s="417" t="s">
        <v>1482</v>
      </c>
    </row>
    <row r="1090" spans="1:3" x14ac:dyDescent="0.25">
      <c r="A1090" s="125">
        <v>2053</v>
      </c>
      <c r="B1090" s="202" t="s">
        <v>1483</v>
      </c>
      <c r="C1090" s="380" t="s">
        <v>1483</v>
      </c>
    </row>
    <row r="1091" spans="1:3" x14ac:dyDescent="0.25">
      <c r="A1091" s="125">
        <v>2054</v>
      </c>
      <c r="B1091" s="213" t="s">
        <v>1484</v>
      </c>
      <c r="C1091" s="375" t="s">
        <v>1484</v>
      </c>
    </row>
    <row r="1092" spans="1:3" ht="30.6" x14ac:dyDescent="0.25">
      <c r="A1092" s="125">
        <v>2055</v>
      </c>
      <c r="B1092" s="225" t="s">
        <v>1485</v>
      </c>
      <c r="C1092" s="437" t="s">
        <v>1485</v>
      </c>
    </row>
    <row r="1093" spans="1:3" x14ac:dyDescent="0.25">
      <c r="A1093" s="125" t="s">
        <v>367</v>
      </c>
      <c r="B1093" s="213" t="s">
        <v>1486</v>
      </c>
      <c r="C1093" s="375" t="s">
        <v>1486</v>
      </c>
    </row>
    <row r="1094" spans="1:3" ht="30.6" x14ac:dyDescent="0.25">
      <c r="A1094" s="125" t="s">
        <v>367</v>
      </c>
      <c r="B1094" s="201" t="s">
        <v>1487</v>
      </c>
      <c r="C1094" s="380" t="s">
        <v>1487</v>
      </c>
    </row>
    <row r="1095" spans="1:3" ht="40.799999999999997" x14ac:dyDescent="0.25">
      <c r="A1095" s="125">
        <v>2058</v>
      </c>
      <c r="B1095" s="201" t="s">
        <v>1488</v>
      </c>
      <c r="C1095" s="380" t="s">
        <v>1488</v>
      </c>
    </row>
    <row r="1096" spans="1:3" x14ac:dyDescent="0.25">
      <c r="A1096" s="125">
        <v>2059</v>
      </c>
      <c r="B1096" s="216" t="s">
        <v>1489</v>
      </c>
      <c r="C1096" s="378" t="s">
        <v>1489</v>
      </c>
    </row>
    <row r="1097" spans="1:3" x14ac:dyDescent="0.25">
      <c r="A1097" s="125">
        <v>2060</v>
      </c>
      <c r="B1097" s="202" t="s">
        <v>1490</v>
      </c>
      <c r="C1097" s="380" t="s">
        <v>1490</v>
      </c>
    </row>
    <row r="1098" spans="1:3" ht="39.6" x14ac:dyDescent="0.25">
      <c r="A1098" s="125" t="s">
        <v>367</v>
      </c>
      <c r="B1098" s="314" t="s">
        <v>1491</v>
      </c>
      <c r="C1098" s="435" t="s">
        <v>1491</v>
      </c>
    </row>
    <row r="1099" spans="1:3" ht="26.4" x14ac:dyDescent="0.25">
      <c r="A1099" s="125" t="s">
        <v>367</v>
      </c>
      <c r="B1099" s="314" t="s">
        <v>1492</v>
      </c>
      <c r="C1099" s="435" t="s">
        <v>1492</v>
      </c>
    </row>
    <row r="1100" spans="1:3" ht="39.6" x14ac:dyDescent="0.25">
      <c r="A1100" s="125">
        <v>2063</v>
      </c>
      <c r="B1100" s="314" t="s">
        <v>1493</v>
      </c>
      <c r="C1100" s="435" t="s">
        <v>1493</v>
      </c>
    </row>
    <row r="1101" spans="1:3" ht="39.6" x14ac:dyDescent="0.25">
      <c r="A1101" s="125">
        <v>2064</v>
      </c>
      <c r="B1101" s="314" t="s">
        <v>1494</v>
      </c>
      <c r="C1101" s="435" t="s">
        <v>1494</v>
      </c>
    </row>
    <row r="1102" spans="1:3" x14ac:dyDescent="0.25">
      <c r="A1102" s="125">
        <v>2065</v>
      </c>
      <c r="B1102" s="395" t="s">
        <v>1495</v>
      </c>
      <c r="C1102" s="417" t="s">
        <v>1495</v>
      </c>
    </row>
    <row r="1103" spans="1:3" x14ac:dyDescent="0.25">
      <c r="A1103" s="125">
        <v>2066</v>
      </c>
      <c r="B1103" s="395" t="s">
        <v>1496</v>
      </c>
      <c r="C1103" s="417" t="s">
        <v>1496</v>
      </c>
    </row>
    <row r="1104" spans="1:3" x14ac:dyDescent="0.25">
      <c r="A1104" s="125">
        <v>2067</v>
      </c>
      <c r="B1104" s="213" t="s">
        <v>1497</v>
      </c>
      <c r="C1104" s="375" t="s">
        <v>1497</v>
      </c>
    </row>
    <row r="1105" spans="1:3" ht="26.4" x14ac:dyDescent="0.25">
      <c r="A1105" s="125">
        <v>2068</v>
      </c>
      <c r="B1105" s="314" t="s">
        <v>1498</v>
      </c>
      <c r="C1105" s="435" t="s">
        <v>1498</v>
      </c>
    </row>
    <row r="1106" spans="1:3" x14ac:dyDescent="0.25">
      <c r="A1106" s="125">
        <v>2069</v>
      </c>
      <c r="B1106" s="395" t="s">
        <v>1499</v>
      </c>
      <c r="C1106" s="417" t="s">
        <v>1499</v>
      </c>
    </row>
    <row r="1107" spans="1:3" ht="20.399999999999999" x14ac:dyDescent="0.25">
      <c r="A1107" s="125">
        <v>2070</v>
      </c>
      <c r="B1107" s="202" t="s">
        <v>1500</v>
      </c>
      <c r="C1107" s="380" t="s">
        <v>1501</v>
      </c>
    </row>
    <row r="1108" spans="1:3" ht="20.399999999999999" x14ac:dyDescent="0.25">
      <c r="A1108" s="125">
        <v>2071</v>
      </c>
      <c r="B1108" s="202" t="s">
        <v>1502</v>
      </c>
      <c r="C1108" s="380" t="s">
        <v>1503</v>
      </c>
    </row>
    <row r="1109" spans="1:3" x14ac:dyDescent="0.25">
      <c r="A1109" s="125">
        <v>2072</v>
      </c>
      <c r="B1109" s="201" t="s">
        <v>1504</v>
      </c>
      <c r="C1109" s="380" t="s">
        <v>1504</v>
      </c>
    </row>
    <row r="1110" spans="1:3" x14ac:dyDescent="0.25">
      <c r="A1110" s="125">
        <v>2073</v>
      </c>
      <c r="B1110" s="213" t="s">
        <v>1505</v>
      </c>
      <c r="C1110" s="375" t="s">
        <v>1505</v>
      </c>
    </row>
    <row r="1111" spans="1:3" ht="20.399999999999999" x14ac:dyDescent="0.25">
      <c r="A1111" s="125">
        <v>2074</v>
      </c>
      <c r="B1111" s="398" t="s">
        <v>1506</v>
      </c>
      <c r="C1111" s="376" t="s">
        <v>1506</v>
      </c>
    </row>
    <row r="1112" spans="1:3" x14ac:dyDescent="0.25">
      <c r="A1112" s="125">
        <v>2075</v>
      </c>
      <c r="B1112" s="201" t="s">
        <v>1507</v>
      </c>
      <c r="C1112" s="380" t="s">
        <v>1507</v>
      </c>
    </row>
    <row r="1113" spans="1:3" x14ac:dyDescent="0.25">
      <c r="A1113" s="125">
        <v>2076</v>
      </c>
      <c r="B1113" s="121" t="s">
        <v>1286</v>
      </c>
      <c r="C1113" s="378" t="s">
        <v>1286</v>
      </c>
    </row>
    <row r="1114" spans="1:3" x14ac:dyDescent="0.25">
      <c r="A1114" s="125">
        <v>2077</v>
      </c>
      <c r="B1114" s="216" t="s">
        <v>1508</v>
      </c>
      <c r="C1114" s="378" t="s">
        <v>1508</v>
      </c>
    </row>
    <row r="1115" spans="1:3" x14ac:dyDescent="0.25">
      <c r="A1115" s="125">
        <v>2078</v>
      </c>
      <c r="B1115" s="216" t="s">
        <v>1290</v>
      </c>
      <c r="C1115" s="378" t="s">
        <v>1290</v>
      </c>
    </row>
    <row r="1116" spans="1:3" ht="30.6" x14ac:dyDescent="0.25">
      <c r="A1116" s="125" t="s">
        <v>367</v>
      </c>
      <c r="B1116" s="201" t="s">
        <v>1509</v>
      </c>
      <c r="C1116" s="380" t="s">
        <v>1509</v>
      </c>
    </row>
    <row r="1117" spans="1:3" ht="40.799999999999997" x14ac:dyDescent="0.25">
      <c r="A1117" s="125">
        <v>2080</v>
      </c>
      <c r="B1117" s="218" t="s">
        <v>69</v>
      </c>
      <c r="C1117" s="376" t="s">
        <v>69</v>
      </c>
    </row>
    <row r="1118" spans="1:3" x14ac:dyDescent="0.25">
      <c r="A1118" s="125">
        <v>2081</v>
      </c>
      <c r="B1118" s="74" t="s">
        <v>1510</v>
      </c>
      <c r="C1118" s="378" t="s">
        <v>1510</v>
      </c>
    </row>
    <row r="1119" spans="1:3" ht="20.399999999999999" x14ac:dyDescent="0.25">
      <c r="A1119" s="125">
        <v>2082</v>
      </c>
      <c r="B1119" s="80" t="s">
        <v>1511</v>
      </c>
      <c r="C1119" s="380" t="s">
        <v>1511</v>
      </c>
    </row>
    <row r="1120" spans="1:3" ht="20.399999999999999" x14ac:dyDescent="0.25">
      <c r="A1120" s="125">
        <v>2083</v>
      </c>
      <c r="B1120" s="80" t="s">
        <v>1512</v>
      </c>
      <c r="C1120" s="380" t="s">
        <v>1512</v>
      </c>
    </row>
    <row r="1121" spans="1:3" x14ac:dyDescent="0.25">
      <c r="A1121" s="125">
        <v>2084</v>
      </c>
      <c r="B1121" s="221" t="s">
        <v>133</v>
      </c>
      <c r="C1121" s="438" t="s">
        <v>133</v>
      </c>
    </row>
    <row r="1122" spans="1:3" x14ac:dyDescent="0.25">
      <c r="A1122" s="125">
        <v>2085</v>
      </c>
      <c r="B1122" s="221" t="s">
        <v>1513</v>
      </c>
      <c r="C1122" s="438" t="s">
        <v>1513</v>
      </c>
    </row>
    <row r="1123" spans="1:3" x14ac:dyDescent="0.25">
      <c r="A1123" s="125">
        <v>2086</v>
      </c>
      <c r="B1123" s="221" t="s">
        <v>1514</v>
      </c>
      <c r="C1123" s="438" t="s">
        <v>1514</v>
      </c>
    </row>
    <row r="1124" spans="1:3" x14ac:dyDescent="0.25">
      <c r="A1124" s="125">
        <v>2087</v>
      </c>
      <c r="B1124" s="221" t="s">
        <v>1515</v>
      </c>
      <c r="C1124" s="438" t="s">
        <v>1515</v>
      </c>
    </row>
    <row r="1125" spans="1:3" x14ac:dyDescent="0.25">
      <c r="A1125" s="125">
        <v>2088</v>
      </c>
      <c r="B1125" s="74" t="s">
        <v>1516</v>
      </c>
      <c r="C1125" s="378" t="s">
        <v>1516</v>
      </c>
    </row>
    <row r="1126" spans="1:3" x14ac:dyDescent="0.25">
      <c r="A1126" s="125">
        <v>2089</v>
      </c>
      <c r="B1126" s="74" t="s">
        <v>1517</v>
      </c>
      <c r="C1126" s="378" t="s">
        <v>1517</v>
      </c>
    </row>
    <row r="1127" spans="1:3" ht="26.4" x14ac:dyDescent="0.25">
      <c r="A1127" s="125">
        <v>2090</v>
      </c>
      <c r="B1127" s="64" t="s">
        <v>1518</v>
      </c>
      <c r="C1127" s="379" t="s">
        <v>1518</v>
      </c>
    </row>
    <row r="1128" spans="1:3" x14ac:dyDescent="0.25">
      <c r="A1128" s="125">
        <v>2091</v>
      </c>
      <c r="B1128" s="64" t="s">
        <v>1519</v>
      </c>
      <c r="C1128" s="379" t="s">
        <v>1519</v>
      </c>
    </row>
    <row r="1129" spans="1:3" x14ac:dyDescent="0.25">
      <c r="A1129" s="125">
        <v>2092</v>
      </c>
      <c r="B1129" s="64" t="s">
        <v>1520</v>
      </c>
      <c r="C1129" s="379" t="s">
        <v>1520</v>
      </c>
    </row>
    <row r="1130" spans="1:3" ht="20.399999999999999" x14ac:dyDescent="0.25">
      <c r="A1130" s="125" t="s">
        <v>367</v>
      </c>
      <c r="B1130" s="202" t="s">
        <v>1521</v>
      </c>
      <c r="C1130" s="380" t="s">
        <v>1521</v>
      </c>
    </row>
    <row r="1131" spans="1:3" x14ac:dyDescent="0.25">
      <c r="A1131" s="125" t="s">
        <v>367</v>
      </c>
      <c r="B1131" s="208" t="s">
        <v>1522</v>
      </c>
      <c r="C1131" s="376" t="s">
        <v>1522</v>
      </c>
    </row>
    <row r="1132" spans="1:3" x14ac:dyDescent="0.25">
      <c r="A1132" s="125" t="s">
        <v>367</v>
      </c>
      <c r="B1132" s="399" t="s">
        <v>1523</v>
      </c>
      <c r="C1132" s="447" t="s">
        <v>1523</v>
      </c>
    </row>
    <row r="1133" spans="1:3" ht="20.399999999999999" x14ac:dyDescent="0.25">
      <c r="A1133" s="125" t="s">
        <v>367</v>
      </c>
      <c r="B1133" s="208" t="s">
        <v>1524</v>
      </c>
      <c r="C1133" s="376" t="s">
        <v>1524</v>
      </c>
    </row>
    <row r="1134" spans="1:3" ht="20.399999999999999" x14ac:dyDescent="0.25">
      <c r="A1134" s="125" t="s">
        <v>367</v>
      </c>
      <c r="B1134" s="208" t="s">
        <v>1525</v>
      </c>
      <c r="C1134" s="376" t="s">
        <v>1525</v>
      </c>
    </row>
    <row r="1135" spans="1:3" x14ac:dyDescent="0.25">
      <c r="A1135" s="125" t="s">
        <v>367</v>
      </c>
      <c r="B1135" s="399" t="s">
        <v>1526</v>
      </c>
      <c r="C1135" s="447" t="s">
        <v>1526</v>
      </c>
    </row>
    <row r="1136" spans="1:3" ht="40.799999999999997" x14ac:dyDescent="0.25">
      <c r="A1136" s="125" t="s">
        <v>367</v>
      </c>
      <c r="B1136" s="208" t="s">
        <v>1527</v>
      </c>
      <c r="C1136" s="376" t="s">
        <v>1527</v>
      </c>
    </row>
    <row r="1137" spans="1:3" ht="30.6" x14ac:dyDescent="0.25">
      <c r="A1137" s="125" t="s">
        <v>367</v>
      </c>
      <c r="B1137" s="208" t="s">
        <v>1528</v>
      </c>
      <c r="C1137" s="376" t="s">
        <v>1528</v>
      </c>
    </row>
    <row r="1138" spans="1:3" ht="20.399999999999999" x14ac:dyDescent="0.25">
      <c r="A1138" s="125">
        <v>2101</v>
      </c>
      <c r="B1138" s="218" t="s">
        <v>1529</v>
      </c>
      <c r="C1138" s="376" t="s">
        <v>1529</v>
      </c>
    </row>
    <row r="1139" spans="1:3" ht="20.399999999999999" x14ac:dyDescent="0.25">
      <c r="A1139" s="125">
        <v>2102</v>
      </c>
      <c r="B1139" s="80" t="s">
        <v>1530</v>
      </c>
      <c r="C1139" s="380" t="s">
        <v>1530</v>
      </c>
    </row>
    <row r="1140" spans="1:3" x14ac:dyDescent="0.25">
      <c r="A1140" s="125" t="s">
        <v>367</v>
      </c>
      <c r="B1140" s="64" t="s">
        <v>1531</v>
      </c>
      <c r="C1140" s="379" t="s">
        <v>1531</v>
      </c>
    </row>
    <row r="1141" spans="1:3" ht="26.4" x14ac:dyDescent="0.25">
      <c r="A1141" s="125">
        <v>2104</v>
      </c>
      <c r="B1141" s="64" t="s">
        <v>1532</v>
      </c>
      <c r="C1141" s="379" t="s">
        <v>1532</v>
      </c>
    </row>
    <row r="1142" spans="1:3" ht="20.399999999999999" x14ac:dyDescent="0.25">
      <c r="A1142" s="125" t="s">
        <v>367</v>
      </c>
      <c r="B1142" s="80" t="s">
        <v>1533</v>
      </c>
      <c r="C1142" s="380" t="s">
        <v>1533</v>
      </c>
    </row>
    <row r="1143" spans="1:3" ht="17.399999999999999" x14ac:dyDescent="0.25">
      <c r="A1143" s="125">
        <v>2106</v>
      </c>
      <c r="B1143" s="226" t="s">
        <v>1534</v>
      </c>
      <c r="C1143" s="443" t="s">
        <v>1534</v>
      </c>
    </row>
    <row r="1144" spans="1:3" ht="20.399999999999999" x14ac:dyDescent="0.25">
      <c r="A1144" s="125">
        <v>2107</v>
      </c>
      <c r="B1144" s="224" t="s">
        <v>1535</v>
      </c>
      <c r="C1144" s="437" t="s">
        <v>1535</v>
      </c>
    </row>
    <row r="1145" spans="1:3" ht="26.4" x14ac:dyDescent="0.25">
      <c r="A1145" s="125">
        <v>2108</v>
      </c>
      <c r="B1145" s="55" t="s">
        <v>1536</v>
      </c>
      <c r="C1145" s="379" t="s">
        <v>1536</v>
      </c>
    </row>
    <row r="1146" spans="1:3" ht="40.799999999999997" x14ac:dyDescent="0.25">
      <c r="A1146" s="125" t="s">
        <v>367</v>
      </c>
      <c r="B1146" s="202" t="s">
        <v>1537</v>
      </c>
      <c r="C1146" s="380" t="s">
        <v>1537</v>
      </c>
    </row>
    <row r="1147" spans="1:3" ht="20.399999999999999" x14ac:dyDescent="0.25">
      <c r="A1147" s="125">
        <v>2110</v>
      </c>
      <c r="B1147" s="401" t="s">
        <v>1538</v>
      </c>
      <c r="C1147" s="380" t="s">
        <v>1538</v>
      </c>
    </row>
    <row r="1148" spans="1:3" x14ac:dyDescent="0.25">
      <c r="A1148" s="125">
        <v>2111</v>
      </c>
      <c r="B1148" s="221" t="s">
        <v>1539</v>
      </c>
      <c r="C1148" s="438" t="s">
        <v>1539</v>
      </c>
    </row>
    <row r="1149" spans="1:3" x14ac:dyDescent="0.25">
      <c r="A1149" s="125">
        <v>2112</v>
      </c>
      <c r="B1149" s="424" t="s">
        <v>1540</v>
      </c>
      <c r="C1149" s="438" t="s">
        <v>1540</v>
      </c>
    </row>
    <row r="1150" spans="1:3" x14ac:dyDescent="0.25">
      <c r="A1150" s="125">
        <v>2113</v>
      </c>
      <c r="B1150" s="427" t="s">
        <v>1541</v>
      </c>
      <c r="C1150" s="438" t="s">
        <v>1541</v>
      </c>
    </row>
    <row r="1151" spans="1:3" x14ac:dyDescent="0.25">
      <c r="A1151" s="125">
        <v>2114</v>
      </c>
      <c r="B1151" s="221" t="s">
        <v>154</v>
      </c>
      <c r="C1151" s="438" t="s">
        <v>154</v>
      </c>
    </row>
    <row r="1152" spans="1:3" x14ac:dyDescent="0.25">
      <c r="A1152" s="125">
        <v>2115</v>
      </c>
      <c r="B1152" s="221" t="s">
        <v>155</v>
      </c>
      <c r="C1152" s="438" t="s">
        <v>155</v>
      </c>
    </row>
    <row r="1153" spans="1:3" x14ac:dyDescent="0.25">
      <c r="A1153" s="125">
        <v>2116</v>
      </c>
      <c r="B1153" s="221" t="s">
        <v>156</v>
      </c>
      <c r="C1153" s="438" t="s">
        <v>156</v>
      </c>
    </row>
    <row r="1154" spans="1:3" x14ac:dyDescent="0.25">
      <c r="A1154" s="125">
        <v>2117</v>
      </c>
      <c r="B1154" s="221" t="s">
        <v>158</v>
      </c>
      <c r="C1154" s="438" t="s">
        <v>158</v>
      </c>
    </row>
    <row r="1155" spans="1:3" x14ac:dyDescent="0.25">
      <c r="A1155" s="125">
        <v>2118</v>
      </c>
      <c r="B1155" s="221" t="s">
        <v>1542</v>
      </c>
      <c r="C1155" s="438" t="s">
        <v>1542</v>
      </c>
    </row>
    <row r="1156" spans="1:3" ht="20.399999999999999" x14ac:dyDescent="0.25">
      <c r="A1156" s="125">
        <v>2119</v>
      </c>
      <c r="B1156" s="451" t="s">
        <v>1543</v>
      </c>
      <c r="C1156" s="438" t="s">
        <v>1543</v>
      </c>
    </row>
    <row r="1157" spans="1:3" ht="15.6" x14ac:dyDescent="0.3">
      <c r="A1157" s="125" t="s">
        <v>367</v>
      </c>
      <c r="B1157" s="85" t="s">
        <v>1544</v>
      </c>
      <c r="C1157" s="381" t="s">
        <v>1544</v>
      </c>
    </row>
    <row r="1158" spans="1:3" ht="17.399999999999999" x14ac:dyDescent="0.25">
      <c r="A1158" s="125">
        <v>2121</v>
      </c>
      <c r="B1158" s="402" t="s">
        <v>1545</v>
      </c>
      <c r="C1158" s="436" t="s">
        <v>1545</v>
      </c>
    </row>
    <row r="1159" spans="1:3" ht="55.2" x14ac:dyDescent="0.25">
      <c r="A1159" s="125">
        <v>2122</v>
      </c>
      <c r="B1159" s="405" t="s">
        <v>1546</v>
      </c>
      <c r="C1159" s="448" t="s">
        <v>1546</v>
      </c>
    </row>
    <row r="1160" spans="1:3" ht="26.4" x14ac:dyDescent="0.25">
      <c r="A1160" s="125">
        <v>2123</v>
      </c>
      <c r="B1160" s="338" t="s">
        <v>1547</v>
      </c>
      <c r="C1160" s="435" t="s">
        <v>1547</v>
      </c>
    </row>
    <row r="1161" spans="1:3" ht="45.6" x14ac:dyDescent="0.25">
      <c r="A1161" s="125">
        <v>2124</v>
      </c>
      <c r="B1161" s="406" t="s">
        <v>1548</v>
      </c>
      <c r="C1161" s="449" t="s">
        <v>1548</v>
      </c>
    </row>
    <row r="1162" spans="1:3" ht="22.8" x14ac:dyDescent="0.25">
      <c r="A1162" s="125">
        <v>2125</v>
      </c>
      <c r="B1162" s="404" t="s">
        <v>1549</v>
      </c>
      <c r="C1162" s="418" t="s">
        <v>1549</v>
      </c>
    </row>
    <row r="1163" spans="1:3" x14ac:dyDescent="0.25">
      <c r="A1163" s="125">
        <v>2126</v>
      </c>
      <c r="B1163" s="404" t="s">
        <v>1550</v>
      </c>
      <c r="C1163" s="418" t="s">
        <v>1550</v>
      </c>
    </row>
    <row r="1164" spans="1:3" ht="34.200000000000003" x14ac:dyDescent="0.25">
      <c r="A1164" s="125">
        <v>2127</v>
      </c>
      <c r="B1164" s="404" t="s">
        <v>1551</v>
      </c>
      <c r="C1164" s="418" t="s">
        <v>1551</v>
      </c>
    </row>
    <row r="1165" spans="1:3" ht="22.8" x14ac:dyDescent="0.25">
      <c r="A1165" s="125">
        <v>2128</v>
      </c>
      <c r="B1165" s="404" t="s">
        <v>1552</v>
      </c>
      <c r="C1165" s="418" t="s">
        <v>1552</v>
      </c>
    </row>
    <row r="1166" spans="1:3" x14ac:dyDescent="0.25">
      <c r="A1166" s="125">
        <v>2129</v>
      </c>
      <c r="B1166" s="340" t="s">
        <v>1553</v>
      </c>
      <c r="C1166" s="375" t="s">
        <v>1553</v>
      </c>
    </row>
    <row r="1167" spans="1:3" ht="15.6" x14ac:dyDescent="0.25">
      <c r="A1167" s="125">
        <v>2130</v>
      </c>
      <c r="B1167" s="403" t="s">
        <v>1554</v>
      </c>
      <c r="C1167" s="434" t="s">
        <v>1555</v>
      </c>
    </row>
    <row r="1168" spans="1:3" ht="15.6" x14ac:dyDescent="0.25">
      <c r="A1168" s="125">
        <v>2131</v>
      </c>
      <c r="B1168" s="403" t="s">
        <v>1556</v>
      </c>
      <c r="C1168" s="434" t="s">
        <v>1557</v>
      </c>
    </row>
    <row r="1169" spans="1:3" x14ac:dyDescent="0.25">
      <c r="A1169" s="125">
        <v>2132</v>
      </c>
      <c r="B1169" s="403" t="s">
        <v>1558</v>
      </c>
      <c r="C1169" s="434" t="s">
        <v>1558</v>
      </c>
    </row>
    <row r="1170" spans="1:3" x14ac:dyDescent="0.25">
      <c r="A1170" s="125">
        <v>2133</v>
      </c>
      <c r="B1170" s="403" t="s">
        <v>1559</v>
      </c>
      <c r="C1170" s="434" t="s">
        <v>1559</v>
      </c>
    </row>
    <row r="1171" spans="1:3" x14ac:dyDescent="0.25">
      <c r="A1171" s="125">
        <v>2134</v>
      </c>
      <c r="B1171" s="403" t="s">
        <v>1560</v>
      </c>
      <c r="C1171" s="434" t="s">
        <v>1560</v>
      </c>
    </row>
    <row r="1172" spans="1:3" ht="45.6" x14ac:dyDescent="0.25">
      <c r="A1172" s="125">
        <v>2135</v>
      </c>
      <c r="B1172" s="411" t="s">
        <v>1561</v>
      </c>
      <c r="C1172" s="418" t="s">
        <v>1561</v>
      </c>
    </row>
    <row r="1173" spans="1:3" x14ac:dyDescent="0.25">
      <c r="A1173" s="125">
        <v>2136</v>
      </c>
      <c r="B1173" s="340" t="s">
        <v>1562</v>
      </c>
      <c r="C1173" s="375" t="s">
        <v>1562</v>
      </c>
    </row>
    <row r="1174" spans="1:3" x14ac:dyDescent="0.25">
      <c r="A1174" s="125">
        <v>2137</v>
      </c>
      <c r="B1174" s="340" t="s">
        <v>1563</v>
      </c>
      <c r="C1174" s="375" t="s">
        <v>1563</v>
      </c>
    </row>
    <row r="1175" spans="1:3" ht="34.200000000000003" x14ac:dyDescent="0.25">
      <c r="A1175" s="125">
        <v>2138</v>
      </c>
      <c r="B1175" s="404" t="s">
        <v>1564</v>
      </c>
      <c r="C1175" s="418" t="s">
        <v>1564</v>
      </c>
    </row>
    <row r="1176" spans="1:3" x14ac:dyDescent="0.25">
      <c r="A1176" s="125">
        <v>2139</v>
      </c>
      <c r="B1176" s="412" t="s">
        <v>1565</v>
      </c>
      <c r="C1176" s="435" t="s">
        <v>1565</v>
      </c>
    </row>
    <row r="1177" spans="1:3" ht="13.8" thickBot="1" x14ac:dyDescent="0.3">
      <c r="A1177" s="125">
        <v>2140</v>
      </c>
      <c r="B1177" s="412" t="s">
        <v>1566</v>
      </c>
      <c r="C1177" s="435" t="s">
        <v>1566</v>
      </c>
    </row>
    <row r="1178" spans="1:3" ht="13.8" thickBot="1" x14ac:dyDescent="0.3">
      <c r="A1178" s="125">
        <v>2141</v>
      </c>
      <c r="B1178" s="413" t="s">
        <v>1567</v>
      </c>
      <c r="C1178" s="435" t="s">
        <v>1567</v>
      </c>
    </row>
    <row r="1179" spans="1:3" x14ac:dyDescent="0.25">
      <c r="A1179" s="125">
        <v>2142</v>
      </c>
      <c r="B1179" s="428" t="s">
        <v>1568</v>
      </c>
      <c r="C1179" s="435" t="s">
        <v>1568</v>
      </c>
    </row>
    <row r="1180" spans="1:3" x14ac:dyDescent="0.25">
      <c r="A1180" s="125">
        <v>2143</v>
      </c>
      <c r="B1180" s="407" t="s">
        <v>1569</v>
      </c>
      <c r="C1180" s="450" t="s">
        <v>1569</v>
      </c>
    </row>
    <row r="1181" spans="1:3" x14ac:dyDescent="0.25">
      <c r="A1181" s="125">
        <v>2144</v>
      </c>
      <c r="B1181" s="340" t="s">
        <v>1570</v>
      </c>
      <c r="C1181" s="375" t="s">
        <v>1570</v>
      </c>
    </row>
    <row r="1182" spans="1:3" ht="34.200000000000003" x14ac:dyDescent="0.25">
      <c r="A1182" s="125">
        <v>2145</v>
      </c>
      <c r="B1182" s="404" t="s">
        <v>1571</v>
      </c>
      <c r="C1182" s="418" t="s">
        <v>1571</v>
      </c>
    </row>
    <row r="1183" spans="1:3" x14ac:dyDescent="0.25">
      <c r="A1183" s="125">
        <v>2146</v>
      </c>
      <c r="B1183" t="s">
        <v>1572</v>
      </c>
      <c r="C1183" s="13" t="s">
        <v>1572</v>
      </c>
    </row>
    <row r="1184" spans="1:3" x14ac:dyDescent="0.25">
      <c r="A1184" s="125">
        <v>2147</v>
      </c>
      <c r="B1184" s="429" t="s">
        <v>1573</v>
      </c>
      <c r="C1184" s="435" t="s">
        <v>1573</v>
      </c>
    </row>
    <row r="1185" spans="1:3" x14ac:dyDescent="0.25">
      <c r="A1185" s="125">
        <v>2148</v>
      </c>
      <c r="B1185" s="429" t="s">
        <v>1574</v>
      </c>
      <c r="C1185" s="435" t="s">
        <v>1574</v>
      </c>
    </row>
    <row r="1186" spans="1:3" ht="15.6" x14ac:dyDescent="0.25">
      <c r="A1186" s="125">
        <v>2149</v>
      </c>
      <c r="B1186" s="430" t="s">
        <v>1575</v>
      </c>
      <c r="C1186" s="435" t="s">
        <v>1576</v>
      </c>
    </row>
    <row r="1187" spans="1:3" x14ac:dyDescent="0.25">
      <c r="A1187" s="125">
        <v>2150</v>
      </c>
      <c r="B1187" s="429" t="s">
        <v>1577</v>
      </c>
      <c r="C1187" s="435" t="s">
        <v>1577</v>
      </c>
    </row>
    <row r="1188" spans="1:3" x14ac:dyDescent="0.25">
      <c r="A1188" s="125">
        <v>2151</v>
      </c>
      <c r="B1188" s="429" t="s">
        <v>1578</v>
      </c>
      <c r="C1188" s="435" t="s">
        <v>1578</v>
      </c>
    </row>
    <row r="1189" spans="1:3" x14ac:dyDescent="0.25">
      <c r="A1189" s="125">
        <v>2152</v>
      </c>
      <c r="B1189" s="429" t="s">
        <v>1579</v>
      </c>
      <c r="C1189" s="435" t="s">
        <v>1579</v>
      </c>
    </row>
    <row r="1190" spans="1:3" ht="15.6" x14ac:dyDescent="0.25">
      <c r="A1190" s="125">
        <v>2153</v>
      </c>
      <c r="B1190" s="429" t="s">
        <v>1580</v>
      </c>
      <c r="C1190" s="435" t="s">
        <v>1581</v>
      </c>
    </row>
    <row r="1191" spans="1:3" x14ac:dyDescent="0.25">
      <c r="A1191" s="125">
        <v>2154</v>
      </c>
      <c r="B1191" s="431" t="s">
        <v>1582</v>
      </c>
      <c r="C1191" s="435" t="s">
        <v>1582</v>
      </c>
    </row>
    <row r="1192" spans="1:3" x14ac:dyDescent="0.25">
      <c r="A1192" s="125">
        <v>2155</v>
      </c>
      <c r="B1192" s="429" t="s">
        <v>1583</v>
      </c>
      <c r="C1192" s="435" t="s">
        <v>1583</v>
      </c>
    </row>
    <row r="1193" spans="1:3" x14ac:dyDescent="0.25">
      <c r="A1193" s="125">
        <v>2156</v>
      </c>
      <c r="B1193" s="429" t="s">
        <v>1584</v>
      </c>
      <c r="C1193" s="435" t="s">
        <v>1584</v>
      </c>
    </row>
    <row r="1194" spans="1:3" x14ac:dyDescent="0.25">
      <c r="A1194" s="125">
        <v>2157</v>
      </c>
      <c r="B1194" s="414" t="s">
        <v>1585</v>
      </c>
      <c r="C1194" s="434" t="s">
        <v>1585</v>
      </c>
    </row>
    <row r="1195" spans="1:3" x14ac:dyDescent="0.25">
      <c r="A1195" s="125">
        <v>2158</v>
      </c>
      <c r="B1195" s="211" t="s">
        <v>1586</v>
      </c>
      <c r="C1195" s="434" t="s">
        <v>1586</v>
      </c>
    </row>
    <row r="1196" spans="1:3" x14ac:dyDescent="0.25">
      <c r="A1196" s="125">
        <v>2159</v>
      </c>
      <c r="B1196" s="211" t="s">
        <v>1587</v>
      </c>
      <c r="C1196" s="434" t="s">
        <v>1587</v>
      </c>
    </row>
    <row r="1197" spans="1:3" x14ac:dyDescent="0.25">
      <c r="A1197" s="125">
        <v>2160</v>
      </c>
      <c r="B1197" s="211" t="s">
        <v>127</v>
      </c>
      <c r="C1197" s="434" t="s">
        <v>127</v>
      </c>
    </row>
    <row r="1198" spans="1:3" x14ac:dyDescent="0.25">
      <c r="A1198" s="125">
        <v>2161</v>
      </c>
      <c r="B1198" s="26" t="s">
        <v>1588</v>
      </c>
      <c r="C1198" s="434" t="s">
        <v>1588</v>
      </c>
    </row>
    <row r="1199" spans="1:3" x14ac:dyDescent="0.25">
      <c r="A1199" s="125">
        <v>2162</v>
      </c>
      <c r="B1199" s="26" t="s">
        <v>1589</v>
      </c>
      <c r="C1199" s="434" t="s">
        <v>1589</v>
      </c>
    </row>
    <row r="1200" spans="1:3" x14ac:dyDescent="0.25">
      <c r="A1200" s="125">
        <v>2163</v>
      </c>
      <c r="B1200" s="415" t="s">
        <v>262</v>
      </c>
      <c r="C1200" s="434" t="s">
        <v>262</v>
      </c>
    </row>
    <row r="1201" spans="1:3" x14ac:dyDescent="0.25">
      <c r="A1201" s="125">
        <v>2164</v>
      </c>
      <c r="B1201" s="415" t="s">
        <v>1590</v>
      </c>
      <c r="C1201" s="434" t="s">
        <v>1590</v>
      </c>
    </row>
    <row r="1202" spans="1:3" x14ac:dyDescent="0.25">
      <c r="A1202" s="125">
        <v>2165</v>
      </c>
      <c r="B1202" s="211" t="s">
        <v>40</v>
      </c>
      <c r="C1202" s="434" t="s">
        <v>40</v>
      </c>
    </row>
    <row r="1203" spans="1:3" x14ac:dyDescent="0.25">
      <c r="A1203" s="125">
        <v>2166</v>
      </c>
      <c r="B1203" s="26" t="s">
        <v>1591</v>
      </c>
      <c r="C1203" s="434" t="s">
        <v>1591</v>
      </c>
    </row>
    <row r="1204" spans="1:3" x14ac:dyDescent="0.25">
      <c r="A1204" s="125">
        <v>2167</v>
      </c>
      <c r="B1204" s="26" t="s">
        <v>1592</v>
      </c>
      <c r="C1204" s="434" t="s">
        <v>1592</v>
      </c>
    </row>
    <row r="1205" spans="1:3" x14ac:dyDescent="0.25">
      <c r="A1205" s="125">
        <v>2168</v>
      </c>
      <c r="B1205" s="26" t="s">
        <v>1593</v>
      </c>
      <c r="C1205" s="434" t="s">
        <v>1593</v>
      </c>
    </row>
    <row r="1206" spans="1:3" x14ac:dyDescent="0.25">
      <c r="A1206" s="125">
        <v>2169</v>
      </c>
      <c r="B1206" s="26" t="s">
        <v>1594</v>
      </c>
      <c r="C1206" s="434" t="s">
        <v>1594</v>
      </c>
    </row>
    <row r="1207" spans="1:3" x14ac:dyDescent="0.25">
      <c r="A1207" s="125">
        <v>2170</v>
      </c>
      <c r="B1207" s="26" t="s">
        <v>1595</v>
      </c>
      <c r="C1207" s="434" t="s">
        <v>1595</v>
      </c>
    </row>
    <row r="1208" spans="1:3" x14ac:dyDescent="0.25">
      <c r="A1208" s="125">
        <v>2171</v>
      </c>
      <c r="B1208" s="26" t="s">
        <v>1596</v>
      </c>
      <c r="C1208" s="434" t="s">
        <v>1596</v>
      </c>
    </row>
    <row r="1209" spans="1:3" x14ac:dyDescent="0.25">
      <c r="A1209" s="125">
        <v>2172</v>
      </c>
      <c r="B1209" s="26" t="s">
        <v>1597</v>
      </c>
      <c r="C1209" s="434" t="s">
        <v>1597</v>
      </c>
    </row>
    <row r="1210" spans="1:3" x14ac:dyDescent="0.25">
      <c r="A1210" s="125">
        <v>2173</v>
      </c>
      <c r="B1210" s="26" t="s">
        <v>1598</v>
      </c>
      <c r="C1210" s="434" t="s">
        <v>1598</v>
      </c>
    </row>
    <row r="1211" spans="1:3" x14ac:dyDescent="0.25">
      <c r="A1211" s="125">
        <v>2174</v>
      </c>
      <c r="B1211" s="26" t="s">
        <v>1599</v>
      </c>
      <c r="C1211" s="434" t="s">
        <v>1599</v>
      </c>
    </row>
    <row r="1212" spans="1:3" x14ac:dyDescent="0.25">
      <c r="A1212" s="125">
        <v>2175</v>
      </c>
      <c r="B1212" s="26" t="s">
        <v>1600</v>
      </c>
      <c r="C1212" s="434" t="s">
        <v>1600</v>
      </c>
    </row>
    <row r="1213" spans="1:3" x14ac:dyDescent="0.25">
      <c r="A1213" s="125">
        <v>2176</v>
      </c>
      <c r="B1213" s="26" t="s">
        <v>1601</v>
      </c>
      <c r="C1213" s="434" t="s">
        <v>1601</v>
      </c>
    </row>
    <row r="1214" spans="1:3" x14ac:dyDescent="0.25">
      <c r="A1214" s="125">
        <v>2177</v>
      </c>
      <c r="B1214" s="26" t="s">
        <v>1602</v>
      </c>
      <c r="C1214" s="434" t="s">
        <v>1602</v>
      </c>
    </row>
    <row r="1215" spans="1:3" x14ac:dyDescent="0.25">
      <c r="A1215" s="125">
        <v>2178</v>
      </c>
      <c r="B1215" s="26" t="s">
        <v>1603</v>
      </c>
      <c r="C1215" s="434" t="s">
        <v>1603</v>
      </c>
    </row>
    <row r="1216" spans="1:3" x14ac:dyDescent="0.25">
      <c r="A1216" s="125">
        <v>2179</v>
      </c>
      <c r="B1216" s="26" t="s">
        <v>1604</v>
      </c>
      <c r="C1216" s="434" t="s">
        <v>1604</v>
      </c>
    </row>
    <row r="1217" spans="1:3" x14ac:dyDescent="0.25">
      <c r="A1217" s="125">
        <v>2180</v>
      </c>
      <c r="B1217" s="26" t="s">
        <v>1605</v>
      </c>
      <c r="C1217" s="434" t="s">
        <v>1605</v>
      </c>
    </row>
    <row r="1218" spans="1:3" x14ac:dyDescent="0.25">
      <c r="A1218" s="125">
        <v>2181</v>
      </c>
      <c r="B1218" s="26" t="s">
        <v>1606</v>
      </c>
      <c r="C1218" s="434" t="s">
        <v>1606</v>
      </c>
    </row>
    <row r="1219" spans="1:3" x14ac:dyDescent="0.25">
      <c r="A1219" s="125">
        <v>2182</v>
      </c>
      <c r="B1219" s="26" t="s">
        <v>1607</v>
      </c>
      <c r="C1219" s="434" t="s">
        <v>1607</v>
      </c>
    </row>
    <row r="1220" spans="1:3" x14ac:dyDescent="0.25">
      <c r="A1220" s="125">
        <v>2183</v>
      </c>
      <c r="B1220" s="26" t="s">
        <v>1608</v>
      </c>
      <c r="C1220" s="434" t="s">
        <v>1608</v>
      </c>
    </row>
    <row r="1221" spans="1:3" x14ac:dyDescent="0.25">
      <c r="A1221" s="125">
        <v>2184</v>
      </c>
      <c r="B1221" s="26" t="s">
        <v>1609</v>
      </c>
      <c r="C1221" s="434" t="s">
        <v>1609</v>
      </c>
    </row>
    <row r="1222" spans="1:3" x14ac:dyDescent="0.25">
      <c r="A1222" s="125">
        <v>2185</v>
      </c>
      <c r="B1222" s="26" t="s">
        <v>1610</v>
      </c>
      <c r="C1222" s="434" t="s">
        <v>1610</v>
      </c>
    </row>
    <row r="1223" spans="1:3" x14ac:dyDescent="0.25">
      <c r="A1223" s="125">
        <v>2186</v>
      </c>
      <c r="B1223" s="26" t="s">
        <v>1611</v>
      </c>
      <c r="C1223" s="434" t="s">
        <v>1611</v>
      </c>
    </row>
    <row r="1224" spans="1:3" x14ac:dyDescent="0.25">
      <c r="A1224" s="125">
        <v>2187</v>
      </c>
      <c r="B1224" s="26" t="s">
        <v>1612</v>
      </c>
      <c r="C1224" s="434" t="s">
        <v>1612</v>
      </c>
    </row>
    <row r="1225" spans="1:3" x14ac:dyDescent="0.25">
      <c r="A1225" s="125">
        <v>2188</v>
      </c>
      <c r="B1225" s="26" t="s">
        <v>1613</v>
      </c>
      <c r="C1225" s="434" t="s">
        <v>1613</v>
      </c>
    </row>
    <row r="1226" spans="1:3" x14ac:dyDescent="0.25">
      <c r="A1226" s="125">
        <v>2189</v>
      </c>
      <c r="B1226" s="26" t="s">
        <v>1614</v>
      </c>
      <c r="C1226" s="434" t="s">
        <v>1614</v>
      </c>
    </row>
    <row r="1227" spans="1:3" x14ac:dyDescent="0.25">
      <c r="A1227" s="125">
        <v>2190</v>
      </c>
      <c r="B1227" s="26" t="s">
        <v>1615</v>
      </c>
      <c r="C1227" s="434" t="s">
        <v>1615</v>
      </c>
    </row>
    <row r="1228" spans="1:3" ht="24.6" x14ac:dyDescent="0.25">
      <c r="A1228" s="125" t="s">
        <v>367</v>
      </c>
      <c r="B1228" s="408" t="s">
        <v>1616</v>
      </c>
      <c r="C1228" s="476" t="s">
        <v>1616</v>
      </c>
    </row>
    <row r="1229" spans="1:3" ht="34.799999999999997" x14ac:dyDescent="0.25">
      <c r="A1229" s="125" t="s">
        <v>367</v>
      </c>
      <c r="B1229" s="200" t="s">
        <v>1617</v>
      </c>
      <c r="C1229" s="476" t="s">
        <v>1617</v>
      </c>
    </row>
    <row r="1230" spans="1:3" x14ac:dyDescent="0.25">
      <c r="A1230" s="125">
        <v>2193</v>
      </c>
      <c r="B1230" s="202" t="s">
        <v>1618</v>
      </c>
      <c r="C1230" s="476" t="s">
        <v>1618</v>
      </c>
    </row>
    <row r="1231" spans="1:3" x14ac:dyDescent="0.25">
      <c r="A1231" s="125">
        <v>2194</v>
      </c>
      <c r="B1231" s="453" t="s">
        <v>1619</v>
      </c>
      <c r="C1231" s="476" t="s">
        <v>1619</v>
      </c>
    </row>
    <row r="1232" spans="1:3" x14ac:dyDescent="0.25">
      <c r="A1232" s="125">
        <v>2195</v>
      </c>
      <c r="B1232" s="454" t="s">
        <v>1620</v>
      </c>
      <c r="C1232" s="476" t="s">
        <v>1620</v>
      </c>
    </row>
    <row r="1233" spans="1:3" x14ac:dyDescent="0.25">
      <c r="A1233" s="125">
        <v>2196</v>
      </c>
      <c r="B1233" s="454" t="s">
        <v>1621</v>
      </c>
      <c r="C1233" s="476" t="s">
        <v>1621</v>
      </c>
    </row>
    <row r="1234" spans="1:3" x14ac:dyDescent="0.25">
      <c r="A1234" s="125">
        <v>2197</v>
      </c>
      <c r="B1234" s="454" t="s">
        <v>1622</v>
      </c>
      <c r="C1234" s="476" t="s">
        <v>1622</v>
      </c>
    </row>
    <row r="1235" spans="1:3" x14ac:dyDescent="0.25">
      <c r="A1235" s="125">
        <v>2198</v>
      </c>
      <c r="B1235" s="454" t="s">
        <v>1623</v>
      </c>
      <c r="C1235" s="476" t="s">
        <v>1623</v>
      </c>
    </row>
    <row r="1236" spans="1:3" x14ac:dyDescent="0.25">
      <c r="A1236" s="125">
        <v>2199</v>
      </c>
      <c r="B1236" s="454" t="s">
        <v>1624</v>
      </c>
      <c r="C1236" s="476" t="s">
        <v>1624</v>
      </c>
    </row>
    <row r="1237" spans="1:3" x14ac:dyDescent="0.25">
      <c r="A1237" s="125">
        <v>2200</v>
      </c>
      <c r="B1237" s="454" t="s">
        <v>1625</v>
      </c>
      <c r="C1237" s="476" t="s">
        <v>1625</v>
      </c>
    </row>
    <row r="1238" spans="1:3" x14ac:dyDescent="0.25">
      <c r="A1238" s="125">
        <v>2201</v>
      </c>
      <c r="B1238" s="454" t="s">
        <v>1626</v>
      </c>
      <c r="C1238" s="476" t="s">
        <v>1626</v>
      </c>
    </row>
    <row r="1239" spans="1:3" x14ac:dyDescent="0.25">
      <c r="A1239" s="125">
        <v>2202</v>
      </c>
      <c r="B1239" s="454" t="s">
        <v>1627</v>
      </c>
      <c r="C1239" s="476" t="s">
        <v>1627</v>
      </c>
    </row>
    <row r="1240" spans="1:3" x14ac:dyDescent="0.25">
      <c r="A1240" s="125">
        <v>2203</v>
      </c>
      <c r="B1240" s="454" t="s">
        <v>1628</v>
      </c>
      <c r="C1240" s="476" t="s">
        <v>1628</v>
      </c>
    </row>
    <row r="1241" spans="1:3" x14ac:dyDescent="0.25">
      <c r="A1241" s="125">
        <v>2204</v>
      </c>
      <c r="B1241" s="454" t="s">
        <v>1629</v>
      </c>
      <c r="C1241" s="476" t="s">
        <v>1629</v>
      </c>
    </row>
    <row r="1242" spans="1:3" x14ac:dyDescent="0.25">
      <c r="A1242" s="125">
        <v>2205</v>
      </c>
      <c r="B1242" s="454" t="s">
        <v>1630</v>
      </c>
      <c r="C1242" s="476" t="s">
        <v>1630</v>
      </c>
    </row>
    <row r="1243" spans="1:3" x14ac:dyDescent="0.25">
      <c r="A1243" s="503" t="s">
        <v>367</v>
      </c>
      <c r="B1243" s="503" t="s">
        <v>1631</v>
      </c>
      <c r="C1243" s="503" t="s">
        <v>1631</v>
      </c>
    </row>
    <row r="1244" spans="1:3" ht="49.2" x14ac:dyDescent="0.25">
      <c r="A1244" s="125">
        <v>2500</v>
      </c>
      <c r="B1244" s="205" t="s">
        <v>1632</v>
      </c>
      <c r="C1244" s="433" t="s">
        <v>1632</v>
      </c>
    </row>
    <row r="1245" spans="1:3" x14ac:dyDescent="0.25">
      <c r="A1245" s="125">
        <v>2501</v>
      </c>
      <c r="B1245" t="s">
        <v>1633</v>
      </c>
      <c r="C1245" s="509" t="s">
        <v>1633</v>
      </c>
    </row>
    <row r="1246" spans="1:3" x14ac:dyDescent="0.25">
      <c r="A1246" s="125">
        <v>2502</v>
      </c>
      <c r="B1246" t="s">
        <v>1634</v>
      </c>
      <c r="C1246" s="509" t="s">
        <v>1634</v>
      </c>
    </row>
    <row r="1247" spans="1:3" x14ac:dyDescent="0.25">
      <c r="A1247" s="125">
        <v>2503</v>
      </c>
      <c r="B1247" s="395" t="s">
        <v>1635</v>
      </c>
      <c r="C1247" s="417" t="s">
        <v>1635</v>
      </c>
    </row>
    <row r="1248" spans="1:3" ht="20.399999999999999" x14ac:dyDescent="0.25">
      <c r="A1248" s="125">
        <v>2504</v>
      </c>
      <c r="B1248" s="208" t="s">
        <v>1636</v>
      </c>
      <c r="C1248" s="376" t="s">
        <v>1636</v>
      </c>
    </row>
    <row r="1249" spans="1:3" x14ac:dyDescent="0.25">
      <c r="A1249" s="125">
        <v>2505</v>
      </c>
      <c r="B1249" s="497" t="s">
        <v>1637</v>
      </c>
      <c r="C1249" s="510" t="s">
        <v>1637</v>
      </c>
    </row>
    <row r="1250" spans="1:3" ht="39.6" x14ac:dyDescent="0.25">
      <c r="A1250" s="125">
        <v>2506</v>
      </c>
      <c r="B1250" s="498" t="s">
        <v>1638</v>
      </c>
      <c r="C1250" s="511" t="s">
        <v>1638</v>
      </c>
    </row>
    <row r="1251" spans="1:3" x14ac:dyDescent="0.25">
      <c r="A1251" s="125">
        <v>2507</v>
      </c>
      <c r="B1251" t="s">
        <v>1639</v>
      </c>
      <c r="C1251" s="509" t="s">
        <v>1639</v>
      </c>
    </row>
    <row r="1252" spans="1:3" ht="39.6" x14ac:dyDescent="0.25">
      <c r="A1252" s="125">
        <v>2508</v>
      </c>
      <c r="B1252" s="498" t="s">
        <v>1640</v>
      </c>
      <c r="C1252" s="511" t="s">
        <v>1640</v>
      </c>
    </row>
    <row r="1253" spans="1:3" x14ac:dyDescent="0.25">
      <c r="A1253" s="125">
        <v>2509</v>
      </c>
      <c r="B1253" s="498" t="s">
        <v>1641</v>
      </c>
      <c r="C1253" s="511" t="s">
        <v>1641</v>
      </c>
    </row>
    <row r="1254" spans="1:3" x14ac:dyDescent="0.25">
      <c r="A1254" s="125">
        <v>2510</v>
      </c>
      <c r="B1254" s="498" t="s">
        <v>1642</v>
      </c>
      <c r="C1254" s="511" t="s">
        <v>1642</v>
      </c>
    </row>
    <row r="1255" spans="1:3" ht="66" x14ac:dyDescent="0.25">
      <c r="A1255" s="125">
        <v>2511</v>
      </c>
      <c r="B1255" s="498" t="s">
        <v>1643</v>
      </c>
      <c r="C1255" s="511" t="s">
        <v>1643</v>
      </c>
    </row>
    <row r="1256" spans="1:3" x14ac:dyDescent="0.25">
      <c r="A1256" s="125">
        <v>2512</v>
      </c>
      <c r="B1256" s="498" t="s">
        <v>1644</v>
      </c>
      <c r="C1256" s="511" t="s">
        <v>1644</v>
      </c>
    </row>
    <row r="1257" spans="1:3" x14ac:dyDescent="0.25">
      <c r="A1257" s="125" t="s">
        <v>367</v>
      </c>
      <c r="B1257" t="s">
        <v>1645</v>
      </c>
      <c r="C1257" s="509" t="s">
        <v>1645</v>
      </c>
    </row>
    <row r="1258" spans="1:3" ht="26.4" x14ac:dyDescent="0.25">
      <c r="A1258" s="125" t="s">
        <v>367</v>
      </c>
      <c r="B1258" s="314" t="s">
        <v>1646</v>
      </c>
      <c r="C1258" s="435" t="s">
        <v>1646</v>
      </c>
    </row>
    <row r="1259" spans="1:3" ht="69.599999999999994" x14ac:dyDescent="0.25">
      <c r="A1259" s="125" t="s">
        <v>367</v>
      </c>
      <c r="B1259" s="200" t="s">
        <v>1647</v>
      </c>
      <c r="C1259" s="512" t="s">
        <v>1647</v>
      </c>
    </row>
    <row r="1260" spans="1:3" ht="26.4" x14ac:dyDescent="0.25">
      <c r="A1260" s="125">
        <v>2516</v>
      </c>
      <c r="B1260" s="396" t="s">
        <v>1648</v>
      </c>
      <c r="C1260" s="435" t="s">
        <v>1648</v>
      </c>
    </row>
    <row r="1261" spans="1:3" x14ac:dyDescent="0.25">
      <c r="A1261" s="125">
        <v>2517</v>
      </c>
      <c r="B1261" s="396" t="s">
        <v>1649</v>
      </c>
      <c r="C1261" s="435" t="s">
        <v>1649</v>
      </c>
    </row>
    <row r="1262" spans="1:3" x14ac:dyDescent="0.25">
      <c r="A1262" s="125">
        <v>2518</v>
      </c>
      <c r="B1262" s="500" t="s">
        <v>1650</v>
      </c>
      <c r="C1262" s="513" t="s">
        <v>1650</v>
      </c>
    </row>
    <row r="1263" spans="1:3" ht="15.6" x14ac:dyDescent="0.25">
      <c r="A1263" s="125">
        <v>2519</v>
      </c>
      <c r="B1263" s="103" t="s">
        <v>1651</v>
      </c>
      <c r="C1263" s="381" t="s">
        <v>1651</v>
      </c>
    </row>
    <row r="1264" spans="1:3" x14ac:dyDescent="0.25">
      <c r="A1264" s="125">
        <v>2520</v>
      </c>
      <c r="B1264" s="499" t="s">
        <v>1652</v>
      </c>
      <c r="C1264" s="514" t="s">
        <v>1652</v>
      </c>
    </row>
    <row r="1265" spans="1:3" x14ac:dyDescent="0.25">
      <c r="A1265" s="125">
        <v>2521</v>
      </c>
      <c r="B1265" s="55" t="s">
        <v>1653</v>
      </c>
      <c r="C1265" s="379" t="s">
        <v>1653</v>
      </c>
    </row>
    <row r="1266" spans="1:3" x14ac:dyDescent="0.25">
      <c r="A1266" s="125">
        <v>2522</v>
      </c>
      <c r="B1266" s="502" t="s">
        <v>1654</v>
      </c>
      <c r="C1266" s="440" t="s">
        <v>1654</v>
      </c>
    </row>
    <row r="1267" spans="1:3" x14ac:dyDescent="0.25">
      <c r="A1267" s="125">
        <v>2523</v>
      </c>
      <c r="B1267" s="55" t="s">
        <v>1655</v>
      </c>
      <c r="C1267" s="379" t="s">
        <v>1655</v>
      </c>
    </row>
    <row r="1268" spans="1:3" x14ac:dyDescent="0.25">
      <c r="A1268" s="125">
        <v>2524</v>
      </c>
      <c r="B1268" s="74" t="s">
        <v>1656</v>
      </c>
      <c r="C1268" s="378" t="s">
        <v>1656</v>
      </c>
    </row>
    <row r="1269" spans="1:3" x14ac:dyDescent="0.25">
      <c r="A1269" s="125">
        <v>2525</v>
      </c>
      <c r="B1269" s="219" t="s">
        <v>1657</v>
      </c>
      <c r="C1269" s="515" t="s">
        <v>1657</v>
      </c>
    </row>
    <row r="1270" spans="1:3" x14ac:dyDescent="0.25">
      <c r="A1270" s="125">
        <v>2526</v>
      </c>
      <c r="B1270" s="74" t="s">
        <v>1658</v>
      </c>
      <c r="C1270" s="378" t="s">
        <v>1658</v>
      </c>
    </row>
    <row r="1271" spans="1:3" x14ac:dyDescent="0.25">
      <c r="A1271" s="125">
        <v>2527</v>
      </c>
      <c r="B1271" s="80" t="s">
        <v>1659</v>
      </c>
      <c r="C1271" s="380" t="s">
        <v>1659</v>
      </c>
    </row>
    <row r="1272" spans="1:3" x14ac:dyDescent="0.25">
      <c r="A1272" s="125">
        <v>2528</v>
      </c>
      <c r="B1272" s="219" t="s">
        <v>1660</v>
      </c>
      <c r="C1272" s="515" t="s">
        <v>1660</v>
      </c>
    </row>
    <row r="1273" spans="1:3" ht="52.8" x14ac:dyDescent="0.25">
      <c r="A1273" s="125">
        <v>2529</v>
      </c>
      <c r="B1273" s="203" t="s">
        <v>1661</v>
      </c>
      <c r="C1273" s="516" t="s">
        <v>1661</v>
      </c>
    </row>
    <row r="1274" spans="1:3" x14ac:dyDescent="0.25">
      <c r="A1274" s="125">
        <v>2530</v>
      </c>
      <c r="B1274" s="499" t="s">
        <v>1662</v>
      </c>
      <c r="C1274" s="514" t="s">
        <v>1662</v>
      </c>
    </row>
    <row r="1275" spans="1:3" ht="20.399999999999999" x14ac:dyDescent="0.25">
      <c r="A1275" s="125">
        <v>2531</v>
      </c>
      <c r="B1275" s="499" t="s">
        <v>1663</v>
      </c>
      <c r="C1275" s="514" t="s">
        <v>1663</v>
      </c>
    </row>
    <row r="1276" spans="1:3" x14ac:dyDescent="0.25">
      <c r="A1276" s="125">
        <v>2532</v>
      </c>
      <c r="B1276" s="64" t="s">
        <v>1664</v>
      </c>
      <c r="C1276" s="379" t="s">
        <v>1664</v>
      </c>
    </row>
    <row r="1277" spans="1:3" ht="20.399999999999999" x14ac:dyDescent="0.25">
      <c r="A1277" s="125">
        <v>2533</v>
      </c>
      <c r="B1277" s="80" t="s">
        <v>1665</v>
      </c>
      <c r="C1277" s="380" t="s">
        <v>1665</v>
      </c>
    </row>
    <row r="1278" spans="1:3" hidden="1" x14ac:dyDescent="0.25">
      <c r="A1278" s="125">
        <v>2534</v>
      </c>
      <c r="B1278" s="504" t="s">
        <v>1666</v>
      </c>
      <c r="C1278" s="442" t="s">
        <v>1666</v>
      </c>
    </row>
    <row r="1279" spans="1:3" ht="26.4" x14ac:dyDescent="0.25">
      <c r="A1279" s="125" t="s">
        <v>367</v>
      </c>
      <c r="B1279" s="55" t="s">
        <v>1667</v>
      </c>
      <c r="C1279" s="379" t="s">
        <v>1667</v>
      </c>
    </row>
    <row r="1280" spans="1:3" ht="39.6" x14ac:dyDescent="0.25">
      <c r="A1280" s="125">
        <v>2536</v>
      </c>
      <c r="B1280" s="55" t="s">
        <v>1668</v>
      </c>
      <c r="C1280" s="379" t="s">
        <v>1668</v>
      </c>
    </row>
    <row r="1281" spans="1:3" ht="52.8" x14ac:dyDescent="0.25">
      <c r="A1281" s="125">
        <v>2537</v>
      </c>
      <c r="B1281" s="55" t="s">
        <v>1669</v>
      </c>
      <c r="C1281" s="379" t="s">
        <v>1669</v>
      </c>
    </row>
    <row r="1282" spans="1:3" ht="20.399999999999999" x14ac:dyDescent="0.25">
      <c r="A1282" s="125">
        <v>2538</v>
      </c>
      <c r="B1282" s="505" t="s">
        <v>1670</v>
      </c>
      <c r="C1282" s="517" t="s">
        <v>1670</v>
      </c>
    </row>
    <row r="1283" spans="1:3" x14ac:dyDescent="0.25">
      <c r="A1283" s="125">
        <v>2539</v>
      </c>
      <c r="B1283" s="501" t="s">
        <v>1671</v>
      </c>
      <c r="C1283" s="518" t="s">
        <v>1671</v>
      </c>
    </row>
    <row r="1284" spans="1:3" x14ac:dyDescent="0.25">
      <c r="A1284" s="125">
        <v>2540</v>
      </c>
      <c r="B1284" s="501" t="s">
        <v>1672</v>
      </c>
      <c r="C1284" s="518" t="s">
        <v>1672</v>
      </c>
    </row>
    <row r="1285" spans="1:3" x14ac:dyDescent="0.25">
      <c r="A1285" s="125">
        <v>2541</v>
      </c>
      <c r="B1285" s="69" t="s">
        <v>1673</v>
      </c>
      <c r="C1285" s="442" t="s">
        <v>1673</v>
      </c>
    </row>
    <row r="1286" spans="1:3" x14ac:dyDescent="0.25">
      <c r="A1286" s="125">
        <v>2542</v>
      </c>
      <c r="B1286" s="506" t="s">
        <v>1674</v>
      </c>
      <c r="C1286" s="445" t="s">
        <v>1674</v>
      </c>
    </row>
    <row r="1287" spans="1:3" x14ac:dyDescent="0.25">
      <c r="A1287" s="125">
        <v>2543</v>
      </c>
      <c r="B1287" s="221" t="s">
        <v>1675</v>
      </c>
      <c r="C1287" s="519" t="s">
        <v>1675</v>
      </c>
    </row>
    <row r="1288" spans="1:3" x14ac:dyDescent="0.25">
      <c r="A1288" s="125">
        <v>2544</v>
      </c>
      <c r="B1288" s="55" t="s">
        <v>1676</v>
      </c>
      <c r="C1288" s="379" t="s">
        <v>1676</v>
      </c>
    </row>
    <row r="1289" spans="1:3" ht="40.799999999999997" x14ac:dyDescent="0.25">
      <c r="A1289" s="125">
        <v>2545</v>
      </c>
      <c r="B1289" s="202" t="s">
        <v>1677</v>
      </c>
      <c r="C1289" s="380" t="s">
        <v>1677</v>
      </c>
    </row>
    <row r="1290" spans="1:3" x14ac:dyDescent="0.25">
      <c r="A1290" s="125">
        <v>2546</v>
      </c>
      <c r="B1290" s="507" t="s">
        <v>1678</v>
      </c>
      <c r="C1290" s="520" t="s">
        <v>1678</v>
      </c>
    </row>
    <row r="1291" spans="1:3" ht="15.6" x14ac:dyDescent="0.3">
      <c r="A1291" s="125">
        <v>2547</v>
      </c>
      <c r="B1291" s="85" t="s">
        <v>1679</v>
      </c>
      <c r="C1291" s="521" t="s">
        <v>1679</v>
      </c>
    </row>
    <row r="1292" spans="1:3" x14ac:dyDescent="0.25">
      <c r="A1292" s="125">
        <v>2548</v>
      </c>
      <c r="B1292" s="508" t="s">
        <v>1680</v>
      </c>
      <c r="C1292" s="513" t="s">
        <v>1680</v>
      </c>
    </row>
    <row r="1293" spans="1:3" x14ac:dyDescent="0.25">
      <c r="A1293" s="125">
        <v>2549</v>
      </c>
      <c r="B1293" s="211" t="s">
        <v>50</v>
      </c>
      <c r="C1293" s="522" t="s">
        <v>50</v>
      </c>
    </row>
    <row r="1294" spans="1:3" x14ac:dyDescent="0.25">
      <c r="A1294" s="125">
        <v>2550</v>
      </c>
      <c r="B1294" s="211" t="s">
        <v>1681</v>
      </c>
      <c r="C1294" s="522" t="s">
        <v>1681</v>
      </c>
    </row>
    <row r="1295" spans="1:3" x14ac:dyDescent="0.25">
      <c r="A1295" s="503" t="s">
        <v>367</v>
      </c>
      <c r="B1295" s="503" t="s">
        <v>1682</v>
      </c>
      <c r="C1295" s="503" t="s">
        <v>1682</v>
      </c>
    </row>
    <row r="1296" spans="1:3" x14ac:dyDescent="0.25">
      <c r="A1296" s="125" t="s">
        <v>367</v>
      </c>
      <c r="B1296" t="s">
        <v>1683</v>
      </c>
      <c r="C1296" s="509" t="s">
        <v>1683</v>
      </c>
    </row>
    <row r="1297" spans="1:4" ht="39.6" x14ac:dyDescent="0.25">
      <c r="A1297" s="125">
        <v>2901</v>
      </c>
      <c r="B1297" s="70" t="s">
        <v>1684</v>
      </c>
      <c r="C1297" s="530" t="s">
        <v>1684</v>
      </c>
    </row>
    <row r="1298" spans="1:4" x14ac:dyDescent="0.25">
      <c r="A1298" s="125" t="s">
        <v>367</v>
      </c>
      <c r="B1298" t="s">
        <v>1685</v>
      </c>
      <c r="C1298" s="509" t="s">
        <v>1685</v>
      </c>
    </row>
    <row r="1299" spans="1:4" x14ac:dyDescent="0.25">
      <c r="A1299" s="125">
        <v>2903</v>
      </c>
      <c r="B1299" s="525" t="s">
        <v>1686</v>
      </c>
      <c r="C1299" s="531" t="s">
        <v>1686</v>
      </c>
      <c r="D1299" s="538"/>
    </row>
    <row r="1300" spans="1:4" ht="52.8" x14ac:dyDescent="0.25">
      <c r="A1300" s="125">
        <v>2904</v>
      </c>
      <c r="B1300" s="1" t="s">
        <v>1687</v>
      </c>
      <c r="C1300" s="458" t="s">
        <v>1687</v>
      </c>
      <c r="D1300" s="538"/>
    </row>
    <row r="1301" spans="1:4" ht="26.4" x14ac:dyDescent="0.25">
      <c r="A1301" s="125">
        <v>2905</v>
      </c>
      <c r="B1301" s="1" t="s">
        <v>1688</v>
      </c>
      <c r="C1301" s="458" t="s">
        <v>1688</v>
      </c>
      <c r="D1301" s="538"/>
    </row>
    <row r="1302" spans="1:4" x14ac:dyDescent="0.25">
      <c r="A1302" s="125">
        <v>2906</v>
      </c>
      <c r="B1302" s="1" t="s">
        <v>1689</v>
      </c>
      <c r="C1302" s="458" t="s">
        <v>1689</v>
      </c>
      <c r="D1302" s="538"/>
    </row>
    <row r="1303" spans="1:4" x14ac:dyDescent="0.25">
      <c r="A1303" s="125">
        <v>2907</v>
      </c>
      <c r="B1303" t="s">
        <v>1690</v>
      </c>
      <c r="C1303" s="509" t="s">
        <v>1690</v>
      </c>
      <c r="D1303" s="538"/>
    </row>
    <row r="1304" spans="1:4" x14ac:dyDescent="0.25">
      <c r="A1304" s="125">
        <v>2908</v>
      </c>
      <c r="B1304" s="527" t="s">
        <v>1691</v>
      </c>
      <c r="C1304" s="532" t="s">
        <v>1691</v>
      </c>
      <c r="D1304" s="538"/>
    </row>
    <row r="1305" spans="1:4" x14ac:dyDescent="0.25">
      <c r="A1305" s="125">
        <v>2909</v>
      </c>
      <c r="B1305" t="s">
        <v>1692</v>
      </c>
      <c r="C1305" s="509" t="s">
        <v>1692</v>
      </c>
      <c r="D1305" s="538"/>
    </row>
    <row r="1306" spans="1:4" x14ac:dyDescent="0.25">
      <c r="A1306" s="125">
        <v>2910</v>
      </c>
      <c r="B1306" s="526" t="s">
        <v>1693</v>
      </c>
      <c r="C1306" s="533" t="s">
        <v>1693</v>
      </c>
    </row>
    <row r="1307" spans="1:4" x14ac:dyDescent="0.25">
      <c r="A1307" s="125">
        <v>2911</v>
      </c>
      <c r="B1307" s="196" t="s">
        <v>1694</v>
      </c>
      <c r="C1307" s="435" t="s">
        <v>1694</v>
      </c>
    </row>
    <row r="1308" spans="1:4" ht="69.599999999999994" x14ac:dyDescent="0.25">
      <c r="A1308" s="125">
        <v>2912</v>
      </c>
      <c r="B1308" s="200" t="s">
        <v>1695</v>
      </c>
      <c r="C1308" s="512" t="s">
        <v>1696</v>
      </c>
    </row>
    <row r="1309" spans="1:4" x14ac:dyDescent="0.25">
      <c r="A1309" s="125">
        <v>2913</v>
      </c>
      <c r="B1309" t="s">
        <v>1697</v>
      </c>
      <c r="C1309" s="509" t="s">
        <v>1697</v>
      </c>
    </row>
    <row r="1310" spans="1:4" ht="26.4" x14ac:dyDescent="0.25">
      <c r="A1310" s="125">
        <v>2914</v>
      </c>
      <c r="B1310" s="528" t="s">
        <v>1698</v>
      </c>
      <c r="C1310" s="459" t="s">
        <v>1698</v>
      </c>
    </row>
    <row r="1311" spans="1:4" x14ac:dyDescent="0.25">
      <c r="A1311" s="125">
        <v>2915</v>
      </c>
      <c r="B1311" t="s">
        <v>1699</v>
      </c>
      <c r="C1311" s="509" t="s">
        <v>1699</v>
      </c>
    </row>
    <row r="1312" spans="1:4" x14ac:dyDescent="0.25">
      <c r="A1312" s="125">
        <v>2916</v>
      </c>
      <c r="B1312" t="s">
        <v>1700</v>
      </c>
      <c r="C1312" s="509" t="s">
        <v>1700</v>
      </c>
    </row>
    <row r="1313" spans="1:4" x14ac:dyDescent="0.25">
      <c r="A1313" s="125">
        <v>2917</v>
      </c>
      <c r="B1313" s="421" t="s">
        <v>1701</v>
      </c>
      <c r="C1313" s="536" t="s">
        <v>1701</v>
      </c>
    </row>
    <row r="1314" spans="1:4" x14ac:dyDescent="0.25">
      <c r="A1314" s="125">
        <v>2918</v>
      </c>
      <c r="B1314" s="529" t="s">
        <v>1702</v>
      </c>
      <c r="C1314" s="534" t="s">
        <v>1702</v>
      </c>
    </row>
    <row r="1315" spans="1:4" ht="26.4" x14ac:dyDescent="0.25">
      <c r="A1315" s="125">
        <v>2919</v>
      </c>
      <c r="B1315" s="314" t="s">
        <v>1703</v>
      </c>
      <c r="C1315" s="537" t="s">
        <v>1703</v>
      </c>
    </row>
    <row r="1316" spans="1:4" ht="26.4" x14ac:dyDescent="0.25">
      <c r="A1316" s="125">
        <v>2920</v>
      </c>
      <c r="B1316" s="523" t="s">
        <v>1704</v>
      </c>
      <c r="C1316" s="535" t="s">
        <v>1704</v>
      </c>
    </row>
    <row r="1317" spans="1:4" ht="20.399999999999999" x14ac:dyDescent="0.25">
      <c r="A1317" s="125">
        <v>2921</v>
      </c>
      <c r="B1317" s="224" t="s">
        <v>1705</v>
      </c>
      <c r="C1317" s="437" t="s">
        <v>1344</v>
      </c>
    </row>
    <row r="1318" spans="1:4" x14ac:dyDescent="0.25">
      <c r="A1318" s="125" t="s">
        <v>367</v>
      </c>
      <c r="B1318" s="539" t="s">
        <v>1706</v>
      </c>
      <c r="C1318" s="476" t="s">
        <v>1706</v>
      </c>
      <c r="D1318" s="540"/>
    </row>
    <row r="1319" spans="1:4" x14ac:dyDescent="0.25">
      <c r="A1319" s="503" t="s">
        <v>367</v>
      </c>
      <c r="B1319" s="503" t="s">
        <v>1707</v>
      </c>
      <c r="C1319" s="503" t="s">
        <v>1707</v>
      </c>
    </row>
    <row r="1320" spans="1:4" x14ac:dyDescent="0.25">
      <c r="A1320" s="125">
        <v>3000</v>
      </c>
      <c r="B1320" s="70" t="s">
        <v>1708</v>
      </c>
      <c r="C1320" s="530" t="s">
        <v>1708</v>
      </c>
      <c r="D1320" s="496"/>
    </row>
    <row r="1321" spans="1:4" x14ac:dyDescent="0.25">
      <c r="A1321" s="125">
        <v>3001</v>
      </c>
      <c r="B1321" s="70" t="s">
        <v>1709</v>
      </c>
      <c r="C1321" s="530" t="s">
        <v>1709</v>
      </c>
      <c r="D1321" s="496"/>
    </row>
    <row r="1322" spans="1:4" x14ac:dyDescent="0.25">
      <c r="A1322" s="125">
        <v>3002</v>
      </c>
      <c r="B1322" s="598" t="s">
        <v>25</v>
      </c>
      <c r="C1322" s="509" t="s">
        <v>25</v>
      </c>
      <c r="D1322" s="496"/>
    </row>
    <row r="1323" spans="1:4" x14ac:dyDescent="0.25">
      <c r="A1323" s="125">
        <v>3003</v>
      </c>
      <c r="B1323" s="70" t="s">
        <v>1710</v>
      </c>
      <c r="C1323" s="530" t="s">
        <v>1710</v>
      </c>
      <c r="D1323" s="496"/>
    </row>
    <row r="1324" spans="1:4" x14ac:dyDescent="0.25">
      <c r="A1324" s="125">
        <v>3004</v>
      </c>
      <c r="B1324" s="280" t="s">
        <v>1711</v>
      </c>
      <c r="C1324" s="585" t="s">
        <v>1711</v>
      </c>
      <c r="D1324" s="496"/>
    </row>
    <row r="1325" spans="1:4" x14ac:dyDescent="0.25">
      <c r="A1325" s="125">
        <v>3005</v>
      </c>
      <c r="B1325" s="70" t="s">
        <v>1712</v>
      </c>
      <c r="C1325" s="530" t="s">
        <v>1712</v>
      </c>
      <c r="D1325" s="496"/>
    </row>
    <row r="1326" spans="1:4" x14ac:dyDescent="0.25">
      <c r="A1326" s="125">
        <v>3006</v>
      </c>
      <c r="B1326" t="s">
        <v>1713</v>
      </c>
      <c r="C1326" s="509" t="s">
        <v>1713</v>
      </c>
      <c r="D1326" s="496"/>
    </row>
    <row r="1327" spans="1:4" x14ac:dyDescent="0.25">
      <c r="A1327" s="125">
        <v>3007</v>
      </c>
      <c r="B1327" s="539" t="s">
        <v>1714</v>
      </c>
      <c r="C1327" s="477" t="s">
        <v>1714</v>
      </c>
      <c r="D1327" s="540"/>
    </row>
    <row r="1328" spans="1:4" x14ac:dyDescent="0.25">
      <c r="A1328" s="125">
        <v>3008</v>
      </c>
      <c r="B1328" t="s">
        <v>1715</v>
      </c>
      <c r="C1328" s="509" t="s">
        <v>1715</v>
      </c>
      <c r="D1328" s="540"/>
    </row>
    <row r="1329" spans="1:4" ht="79.2" x14ac:dyDescent="0.25">
      <c r="A1329" s="125">
        <v>3009</v>
      </c>
      <c r="B1329" s="338" t="s">
        <v>1716</v>
      </c>
      <c r="C1329" s="435" t="s">
        <v>1716</v>
      </c>
      <c r="D1329" s="540"/>
    </row>
    <row r="1330" spans="1:4" ht="26.4" x14ac:dyDescent="0.25">
      <c r="A1330" s="125">
        <v>3010</v>
      </c>
      <c r="B1330" s="314" t="s">
        <v>1717</v>
      </c>
      <c r="C1330" s="435" t="s">
        <v>1717</v>
      </c>
      <c r="D1330" s="540"/>
    </row>
    <row r="1331" spans="1:4" ht="52.8" x14ac:dyDescent="0.25">
      <c r="A1331" s="125">
        <v>3011</v>
      </c>
      <c r="B1331" s="314" t="s">
        <v>1718</v>
      </c>
      <c r="C1331" s="435" t="s">
        <v>1718</v>
      </c>
      <c r="D1331" s="540"/>
    </row>
    <row r="1332" spans="1:4" x14ac:dyDescent="0.25">
      <c r="A1332" s="125">
        <v>3012</v>
      </c>
      <c r="B1332" s="314" t="s">
        <v>1719</v>
      </c>
      <c r="C1332" s="435" t="s">
        <v>1719</v>
      </c>
      <c r="D1332" s="540"/>
    </row>
    <row r="1333" spans="1:4" ht="26.4" x14ac:dyDescent="0.25">
      <c r="A1333" s="125">
        <v>3013</v>
      </c>
      <c r="B1333" s="314" t="s">
        <v>1720</v>
      </c>
      <c r="C1333" s="435" t="s">
        <v>1720</v>
      </c>
      <c r="D1333" s="540"/>
    </row>
    <row r="1334" spans="1:4" ht="39.6" x14ac:dyDescent="0.25">
      <c r="A1334" s="125">
        <v>3014</v>
      </c>
      <c r="B1334" s="314" t="s">
        <v>1721</v>
      </c>
      <c r="C1334" s="435" t="s">
        <v>1721</v>
      </c>
      <c r="D1334" s="540"/>
    </row>
    <row r="1335" spans="1:4" ht="39.6" x14ac:dyDescent="0.25">
      <c r="A1335" s="125">
        <v>3015</v>
      </c>
      <c r="B1335" s="314" t="s">
        <v>1722</v>
      </c>
      <c r="C1335" s="435" t="s">
        <v>1722</v>
      </c>
      <c r="D1335" s="540"/>
    </row>
    <row r="1336" spans="1:4" ht="26.4" x14ac:dyDescent="0.25">
      <c r="A1336" s="125">
        <v>3016</v>
      </c>
      <c r="B1336" s="314" t="s">
        <v>1723</v>
      </c>
      <c r="C1336" s="435" t="s">
        <v>1723</v>
      </c>
      <c r="D1336" s="540"/>
    </row>
    <row r="1337" spans="1:4" x14ac:dyDescent="0.25">
      <c r="A1337" s="125">
        <v>3017</v>
      </c>
      <c r="B1337" s="395" t="s">
        <v>1724</v>
      </c>
      <c r="C1337" s="417" t="s">
        <v>1724</v>
      </c>
      <c r="D1337" s="540"/>
    </row>
    <row r="1338" spans="1:4" ht="26.4" x14ac:dyDescent="0.25">
      <c r="A1338" s="125">
        <v>3018</v>
      </c>
      <c r="B1338" s="314" t="s">
        <v>1725</v>
      </c>
      <c r="C1338" s="435" t="s">
        <v>1725</v>
      </c>
      <c r="D1338" s="540"/>
    </row>
    <row r="1339" spans="1:4" x14ac:dyDescent="0.25">
      <c r="A1339" s="125">
        <v>3019</v>
      </c>
      <c r="B1339" s="395" t="s">
        <v>1726</v>
      </c>
      <c r="C1339" s="417" t="s">
        <v>1726</v>
      </c>
      <c r="D1339" s="540"/>
    </row>
    <row r="1340" spans="1:4" ht="52.8" x14ac:dyDescent="0.25">
      <c r="A1340" s="125">
        <v>3020</v>
      </c>
      <c r="B1340" s="314" t="s">
        <v>1727</v>
      </c>
      <c r="C1340" s="435" t="s">
        <v>1727</v>
      </c>
      <c r="D1340" s="540"/>
    </row>
    <row r="1341" spans="1:4" ht="26.4" x14ac:dyDescent="0.25">
      <c r="A1341" s="125">
        <v>3021</v>
      </c>
      <c r="B1341" s="560" t="s">
        <v>1728</v>
      </c>
      <c r="C1341" s="474" t="s">
        <v>1728</v>
      </c>
      <c r="D1341" s="540"/>
    </row>
    <row r="1342" spans="1:4" ht="39.6" x14ac:dyDescent="0.25">
      <c r="A1342" s="125">
        <v>3022</v>
      </c>
      <c r="B1342" s="314" t="s">
        <v>1729</v>
      </c>
      <c r="C1342" s="435" t="s">
        <v>1729</v>
      </c>
      <c r="D1342" s="540"/>
    </row>
    <row r="1343" spans="1:4" ht="39.6" x14ac:dyDescent="0.25">
      <c r="A1343" s="125">
        <v>3023</v>
      </c>
      <c r="B1343" s="314" t="s">
        <v>1730</v>
      </c>
      <c r="C1343" s="435" t="s">
        <v>1730</v>
      </c>
      <c r="D1343" s="540"/>
    </row>
    <row r="1344" spans="1:4" ht="92.4" x14ac:dyDescent="0.25">
      <c r="A1344" s="125">
        <v>3024</v>
      </c>
      <c r="B1344" s="314" t="s">
        <v>1731</v>
      </c>
      <c r="C1344" s="435" t="s">
        <v>1731</v>
      </c>
      <c r="D1344" s="540"/>
    </row>
    <row r="1345" spans="1:4" x14ac:dyDescent="0.25">
      <c r="A1345" s="125">
        <v>3025</v>
      </c>
      <c r="B1345" s="561" t="s">
        <v>1732</v>
      </c>
      <c r="C1345" s="586" t="s">
        <v>1732</v>
      </c>
      <c r="D1345" s="540"/>
    </row>
    <row r="1346" spans="1:4" ht="79.2" x14ac:dyDescent="0.25">
      <c r="A1346" s="125">
        <v>3026</v>
      </c>
      <c r="B1346" s="561" t="s">
        <v>1733</v>
      </c>
      <c r="C1346" s="586" t="s">
        <v>1733</v>
      </c>
      <c r="D1346" s="540"/>
    </row>
    <row r="1347" spans="1:4" ht="69.599999999999994" x14ac:dyDescent="0.25">
      <c r="A1347" s="125">
        <v>3027</v>
      </c>
      <c r="B1347" s="200" t="s">
        <v>1734</v>
      </c>
      <c r="C1347" s="512" t="s">
        <v>1734</v>
      </c>
      <c r="D1347" s="540"/>
    </row>
    <row r="1348" spans="1:4" ht="66" x14ac:dyDescent="0.25">
      <c r="A1348" s="125">
        <v>3028</v>
      </c>
      <c r="B1348" s="396" t="s">
        <v>1735</v>
      </c>
      <c r="C1348" s="435" t="s">
        <v>1735</v>
      </c>
      <c r="D1348" s="540"/>
    </row>
    <row r="1349" spans="1:4" x14ac:dyDescent="0.25">
      <c r="A1349" s="125">
        <v>3029</v>
      </c>
      <c r="B1349" s="213" t="s">
        <v>1736</v>
      </c>
      <c r="C1349" s="375" t="s">
        <v>1736</v>
      </c>
      <c r="D1349" s="540"/>
    </row>
    <row r="1350" spans="1:4" ht="30.6" x14ac:dyDescent="0.25">
      <c r="A1350" s="125">
        <v>3030</v>
      </c>
      <c r="B1350" s="201" t="s">
        <v>1737</v>
      </c>
      <c r="C1350" s="380" t="s">
        <v>1737</v>
      </c>
      <c r="D1350" s="540"/>
    </row>
    <row r="1351" spans="1:4" ht="52.8" x14ac:dyDescent="0.25">
      <c r="A1351" s="125">
        <v>3031</v>
      </c>
      <c r="B1351" s="314" t="s">
        <v>1738</v>
      </c>
      <c r="C1351" s="435" t="s">
        <v>1738</v>
      </c>
      <c r="D1351" s="540"/>
    </row>
    <row r="1352" spans="1:4" ht="30.6" x14ac:dyDescent="0.25">
      <c r="A1352" s="125">
        <v>3032</v>
      </c>
      <c r="B1352" s="201" t="s">
        <v>1739</v>
      </c>
      <c r="C1352" s="380" t="s">
        <v>1739</v>
      </c>
      <c r="D1352" s="540"/>
    </row>
    <row r="1353" spans="1:4" ht="26.4" x14ac:dyDescent="0.25">
      <c r="A1353" s="125">
        <v>3033</v>
      </c>
      <c r="B1353" s="55" t="s">
        <v>193</v>
      </c>
      <c r="C1353" s="379" t="s">
        <v>193</v>
      </c>
      <c r="D1353" s="540"/>
    </row>
    <row r="1354" spans="1:4" ht="20.399999999999999" x14ac:dyDescent="0.25">
      <c r="A1354" s="125">
        <v>3034</v>
      </c>
      <c r="B1354" s="202" t="s">
        <v>1740</v>
      </c>
      <c r="C1354" s="380" t="s">
        <v>1740</v>
      </c>
      <c r="D1354" s="540"/>
    </row>
    <row r="1355" spans="1:4" x14ac:dyDescent="0.25">
      <c r="A1355" s="125">
        <v>3035</v>
      </c>
      <c r="B1355" s="501" t="s">
        <v>1741</v>
      </c>
      <c r="C1355" s="518" t="s">
        <v>1741</v>
      </c>
      <c r="D1355" s="540"/>
    </row>
    <row r="1356" spans="1:4" x14ac:dyDescent="0.25">
      <c r="A1356" s="125">
        <v>3036</v>
      </c>
      <c r="B1356" s="221" t="s">
        <v>1742</v>
      </c>
      <c r="C1356" s="519" t="s">
        <v>1742</v>
      </c>
      <c r="D1356" s="540"/>
    </row>
    <row r="1357" spans="1:4" x14ac:dyDescent="0.25">
      <c r="A1357" s="125">
        <v>3037</v>
      </c>
      <c r="B1357" s="202" t="s">
        <v>1743</v>
      </c>
      <c r="C1357" s="380" t="s">
        <v>1743</v>
      </c>
      <c r="D1357" s="540"/>
    </row>
    <row r="1358" spans="1:4" ht="30.6" x14ac:dyDescent="0.25">
      <c r="A1358" s="125">
        <v>3038</v>
      </c>
      <c r="B1358" s="225" t="s">
        <v>1744</v>
      </c>
      <c r="C1358" s="437" t="s">
        <v>1744</v>
      </c>
      <c r="D1358" s="540"/>
    </row>
    <row r="1359" spans="1:4" ht="20.399999999999999" x14ac:dyDescent="0.25">
      <c r="A1359" s="125">
        <v>3039</v>
      </c>
      <c r="B1359" s="202" t="s">
        <v>1745</v>
      </c>
      <c r="C1359" s="380" t="s">
        <v>1745</v>
      </c>
      <c r="D1359" s="540"/>
    </row>
    <row r="1360" spans="1:4" ht="61.2" x14ac:dyDescent="0.25">
      <c r="A1360" s="125">
        <v>3040</v>
      </c>
      <c r="B1360" s="202" t="s">
        <v>1746</v>
      </c>
      <c r="C1360" s="380" t="s">
        <v>1746</v>
      </c>
      <c r="D1360" s="540"/>
    </row>
    <row r="1361" spans="1:4" ht="26.4" x14ac:dyDescent="0.25">
      <c r="A1361" s="125">
        <v>3041</v>
      </c>
      <c r="B1361" s="55" t="s">
        <v>1747</v>
      </c>
      <c r="C1361" s="379" t="s">
        <v>1747</v>
      </c>
      <c r="D1361" s="540"/>
    </row>
    <row r="1362" spans="1:4" ht="20.399999999999999" x14ac:dyDescent="0.25">
      <c r="A1362" s="125">
        <v>3042</v>
      </c>
      <c r="B1362" s="202" t="s">
        <v>1748</v>
      </c>
      <c r="C1362" s="380" t="s">
        <v>1748</v>
      </c>
      <c r="D1362" s="540"/>
    </row>
    <row r="1363" spans="1:4" ht="20.399999999999999" x14ac:dyDescent="0.25">
      <c r="A1363" s="125">
        <v>3043</v>
      </c>
      <c r="B1363" s="202" t="s">
        <v>1749</v>
      </c>
      <c r="C1363" s="380" t="s">
        <v>1749</v>
      </c>
      <c r="D1363" s="540"/>
    </row>
    <row r="1364" spans="1:4" x14ac:dyDescent="0.25">
      <c r="A1364" s="125">
        <v>3044</v>
      </c>
      <c r="B1364" s="74" t="s">
        <v>1750</v>
      </c>
      <c r="C1364" s="378" t="s">
        <v>1750</v>
      </c>
      <c r="D1364" s="540"/>
    </row>
    <row r="1365" spans="1:4" ht="17.399999999999999" x14ac:dyDescent="0.25">
      <c r="A1365" s="125">
        <v>3045</v>
      </c>
      <c r="B1365" s="207" t="s">
        <v>1751</v>
      </c>
      <c r="C1365" s="436" t="s">
        <v>1751</v>
      </c>
      <c r="D1365" s="540"/>
    </row>
    <row r="1366" spans="1:4" ht="40.799999999999997" x14ac:dyDescent="0.25">
      <c r="A1366" s="125">
        <v>3046</v>
      </c>
      <c r="B1366" s="202" t="s">
        <v>1752</v>
      </c>
      <c r="C1366" s="380" t="s">
        <v>1752</v>
      </c>
      <c r="D1366" s="540"/>
    </row>
    <row r="1367" spans="1:4" ht="20.399999999999999" x14ac:dyDescent="0.25">
      <c r="A1367" s="125">
        <v>3047</v>
      </c>
      <c r="B1367" s="202" t="s">
        <v>1753</v>
      </c>
      <c r="C1367" s="380" t="s">
        <v>1753</v>
      </c>
      <c r="D1367" s="540"/>
    </row>
    <row r="1368" spans="1:4" ht="20.399999999999999" x14ac:dyDescent="0.25">
      <c r="A1368" s="125">
        <v>3048</v>
      </c>
      <c r="B1368" s="202" t="s">
        <v>1754</v>
      </c>
      <c r="C1368" s="380" t="s">
        <v>1754</v>
      </c>
      <c r="D1368" s="540"/>
    </row>
    <row r="1369" spans="1:4" x14ac:dyDescent="0.25">
      <c r="A1369" s="125">
        <v>3049</v>
      </c>
      <c r="B1369" s="225" t="s">
        <v>1755</v>
      </c>
      <c r="C1369" s="437" t="s">
        <v>1755</v>
      </c>
      <c r="D1369" s="540"/>
    </row>
    <row r="1370" spans="1:4" ht="30.6" x14ac:dyDescent="0.25">
      <c r="A1370" s="125">
        <v>3050</v>
      </c>
      <c r="B1370" s="225" t="s">
        <v>1756</v>
      </c>
      <c r="C1370" s="437" t="s">
        <v>1756</v>
      </c>
      <c r="D1370" s="540"/>
    </row>
    <row r="1371" spans="1:4" x14ac:dyDescent="0.25">
      <c r="A1371" s="125">
        <v>3051</v>
      </c>
      <c r="B1371" s="202" t="s">
        <v>1757</v>
      </c>
      <c r="C1371" s="380" t="s">
        <v>1757</v>
      </c>
      <c r="D1371" s="540"/>
    </row>
    <row r="1372" spans="1:4" x14ac:dyDescent="0.25">
      <c r="A1372" s="125">
        <v>3052</v>
      </c>
      <c r="B1372" s="55" t="s">
        <v>1758</v>
      </c>
      <c r="C1372" s="379" t="s">
        <v>1758</v>
      </c>
      <c r="D1372" s="540"/>
    </row>
    <row r="1373" spans="1:4" x14ac:dyDescent="0.25">
      <c r="A1373" s="125">
        <v>3053</v>
      </c>
      <c r="B1373" s="202" t="s">
        <v>1759</v>
      </c>
      <c r="C1373" s="380" t="s">
        <v>1759</v>
      </c>
      <c r="D1373" s="540"/>
    </row>
    <row r="1374" spans="1:4" x14ac:dyDescent="0.25">
      <c r="A1374" s="125">
        <v>3054</v>
      </c>
      <c r="B1374" t="s">
        <v>1760</v>
      </c>
      <c r="C1374" s="509" t="s">
        <v>1760</v>
      </c>
      <c r="D1374" s="540"/>
    </row>
    <row r="1375" spans="1:4" x14ac:dyDescent="0.25">
      <c r="A1375" s="125">
        <v>3055</v>
      </c>
      <c r="B1375" s="564" t="s">
        <v>1761</v>
      </c>
      <c r="C1375" s="587" t="s">
        <v>1761</v>
      </c>
      <c r="D1375" s="540"/>
    </row>
    <row r="1376" spans="1:4" x14ac:dyDescent="0.25">
      <c r="A1376" s="125">
        <v>3056</v>
      </c>
      <c r="B1376" s="502" t="s">
        <v>1762</v>
      </c>
      <c r="C1376" s="440" t="s">
        <v>1762</v>
      </c>
      <c r="D1376" s="540"/>
    </row>
    <row r="1377" spans="1:4" x14ac:dyDescent="0.25">
      <c r="A1377" s="125">
        <v>3057</v>
      </c>
      <c r="B1377" s="562" t="s">
        <v>1763</v>
      </c>
      <c r="C1377" s="588" t="s">
        <v>1763</v>
      </c>
      <c r="D1377" s="540"/>
    </row>
    <row r="1378" spans="1:4" x14ac:dyDescent="0.25">
      <c r="A1378" s="125">
        <v>3058</v>
      </c>
      <c r="B1378" s="562" t="s">
        <v>1764</v>
      </c>
      <c r="C1378" s="588" t="s">
        <v>1764</v>
      </c>
      <c r="D1378" s="540"/>
    </row>
    <row r="1379" spans="1:4" x14ac:dyDescent="0.25">
      <c r="A1379" s="125">
        <v>3059</v>
      </c>
      <c r="B1379" s="562" t="s">
        <v>1765</v>
      </c>
      <c r="C1379" s="588" t="s">
        <v>1765</v>
      </c>
      <c r="D1379" s="540"/>
    </row>
    <row r="1380" spans="1:4" x14ac:dyDescent="0.25">
      <c r="A1380" s="125">
        <v>3060</v>
      </c>
      <c r="B1380" s="563" t="s">
        <v>1766</v>
      </c>
      <c r="C1380" s="515" t="s">
        <v>1766</v>
      </c>
      <c r="D1380" s="540"/>
    </row>
    <row r="1381" spans="1:4" ht="20.399999999999999" x14ac:dyDescent="0.25">
      <c r="A1381" s="125">
        <v>3061</v>
      </c>
      <c r="B1381" s="202" t="s">
        <v>1767</v>
      </c>
      <c r="C1381" s="380" t="s">
        <v>1767</v>
      </c>
      <c r="D1381" s="540"/>
    </row>
    <row r="1382" spans="1:4" x14ac:dyDescent="0.25">
      <c r="A1382" s="125">
        <v>3062</v>
      </c>
      <c r="B1382" s="202" t="s">
        <v>1768</v>
      </c>
      <c r="C1382" s="380" t="s">
        <v>1768</v>
      </c>
      <c r="D1382" s="540"/>
    </row>
    <row r="1383" spans="1:4" x14ac:dyDescent="0.25">
      <c r="A1383" s="125">
        <v>3063</v>
      </c>
      <c r="B1383" s="64" t="s">
        <v>1769</v>
      </c>
      <c r="C1383" s="379" t="s">
        <v>1769</v>
      </c>
      <c r="D1383" s="540"/>
    </row>
    <row r="1384" spans="1:4" ht="30.6" x14ac:dyDescent="0.25">
      <c r="A1384" s="125">
        <v>3064</v>
      </c>
      <c r="B1384" s="225" t="s">
        <v>1770</v>
      </c>
      <c r="C1384" s="437" t="s">
        <v>1770</v>
      </c>
      <c r="D1384" s="540"/>
    </row>
    <row r="1385" spans="1:4" ht="26.4" x14ac:dyDescent="0.25">
      <c r="A1385" s="125">
        <v>3065</v>
      </c>
      <c r="B1385" s="338" t="s">
        <v>1771</v>
      </c>
      <c r="C1385" s="435" t="s">
        <v>1771</v>
      </c>
      <c r="D1385" s="540"/>
    </row>
    <row r="1386" spans="1:4" ht="22.8" x14ac:dyDescent="0.25">
      <c r="A1386" s="125">
        <v>3066</v>
      </c>
      <c r="B1386" s="406" t="s">
        <v>1772</v>
      </c>
      <c r="C1386" s="449" t="s">
        <v>1772</v>
      </c>
      <c r="D1386" s="540"/>
    </row>
    <row r="1387" spans="1:4" ht="22.8" x14ac:dyDescent="0.25">
      <c r="A1387" s="125">
        <v>3067</v>
      </c>
      <c r="B1387" s="404" t="s">
        <v>1773</v>
      </c>
      <c r="C1387" s="418" t="s">
        <v>1773</v>
      </c>
      <c r="D1387" s="540"/>
    </row>
    <row r="1388" spans="1:4" ht="22.8" x14ac:dyDescent="0.25">
      <c r="A1388" s="125">
        <v>3068</v>
      </c>
      <c r="B1388" s="404" t="s">
        <v>1774</v>
      </c>
      <c r="C1388" s="418" t="s">
        <v>1774</v>
      </c>
      <c r="D1388" s="540"/>
    </row>
    <row r="1389" spans="1:4" ht="34.200000000000003" x14ac:dyDescent="0.25">
      <c r="A1389" s="125">
        <v>3069</v>
      </c>
      <c r="B1389" s="404" t="s">
        <v>1775</v>
      </c>
      <c r="C1389" s="418" t="s">
        <v>1775</v>
      </c>
      <c r="D1389" s="540"/>
    </row>
    <row r="1390" spans="1:4" ht="34.200000000000003" x14ac:dyDescent="0.25">
      <c r="A1390" s="125">
        <v>3070</v>
      </c>
      <c r="B1390" s="569" t="s">
        <v>1776</v>
      </c>
      <c r="C1390" s="418" t="s">
        <v>1776</v>
      </c>
      <c r="D1390" s="540"/>
    </row>
    <row r="1391" spans="1:4" ht="20.399999999999999" x14ac:dyDescent="0.25">
      <c r="A1391" s="125">
        <v>3071</v>
      </c>
      <c r="B1391" s="567" t="s">
        <v>1777</v>
      </c>
      <c r="C1391" s="437" t="s">
        <v>1777</v>
      </c>
      <c r="D1391" s="540"/>
    </row>
    <row r="1392" spans="1:4" ht="20.399999999999999" x14ac:dyDescent="0.25">
      <c r="A1392" s="125">
        <v>3072</v>
      </c>
      <c r="B1392" s="566" t="s">
        <v>1778</v>
      </c>
      <c r="C1392" s="380" t="s">
        <v>1778</v>
      </c>
      <c r="D1392" s="540"/>
    </row>
    <row r="1393" spans="1:4" ht="26.4" x14ac:dyDescent="0.25">
      <c r="A1393" s="125">
        <v>3073</v>
      </c>
      <c r="B1393" s="568" t="s">
        <v>1779</v>
      </c>
      <c r="C1393" s="379" t="s">
        <v>1779</v>
      </c>
      <c r="D1393" s="540"/>
    </row>
    <row r="1394" spans="1:4" ht="26.4" x14ac:dyDescent="0.25">
      <c r="A1394" s="125">
        <v>3074</v>
      </c>
      <c r="B1394" s="568" t="s">
        <v>1780</v>
      </c>
      <c r="C1394" s="379" t="s">
        <v>1780</v>
      </c>
      <c r="D1394" s="540"/>
    </row>
    <row r="1395" spans="1:4" ht="20.399999999999999" x14ac:dyDescent="0.25">
      <c r="A1395" s="125">
        <v>3075</v>
      </c>
      <c r="B1395" s="565" t="s">
        <v>1781</v>
      </c>
      <c r="C1395" s="589" t="s">
        <v>1781</v>
      </c>
      <c r="D1395" s="540"/>
    </row>
    <row r="1396" spans="1:4" x14ac:dyDescent="0.25">
      <c r="A1396" s="584" t="s">
        <v>1782</v>
      </c>
      <c r="B1396" s="584" t="s">
        <v>1782</v>
      </c>
      <c r="C1396" s="584" t="s">
        <v>1782</v>
      </c>
    </row>
    <row r="1397" spans="1:4" x14ac:dyDescent="0.25">
      <c r="B1397" s="808" t="s">
        <v>22</v>
      </c>
    </row>
    <row r="1398" spans="1:4" x14ac:dyDescent="0.25">
      <c r="B1398" s="808" t="s">
        <v>25</v>
      </c>
    </row>
    <row r="1399" spans="1:4" x14ac:dyDescent="0.25">
      <c r="B1399" s="70" t="s">
        <v>2045</v>
      </c>
    </row>
    <row r="1400" spans="1:4" x14ac:dyDescent="0.25">
      <c r="B1400" t="s">
        <v>2047</v>
      </c>
    </row>
  </sheetData>
  <sheetProtection sheet="1" objects="1" scenarios="1" formatCells="0" formatColumns="0" formatRows="0" insertColumns="0" insertRows="0"/>
  <autoFilter ref="A1:C1326" xr:uid="{00000000-0009-0000-0000-00000E000000}"/>
  <conditionalFormatting sqref="B1230">
    <cfRule type="expression" dxfId="26" priority="147">
      <formula>CONTR_CORSIAapplied=FALSE</formula>
    </cfRule>
  </conditionalFormatting>
  <conditionalFormatting sqref="B1317">
    <cfRule type="expression" dxfId="25" priority="83" stopIfTrue="1">
      <formula>(#REF!=TRUE)</formula>
    </cfRule>
  </conditionalFormatting>
  <conditionalFormatting sqref="B882:C882">
    <cfRule type="expression" dxfId="24" priority="311" stopIfTrue="1">
      <formula>#REF!</formula>
    </cfRule>
  </conditionalFormatting>
  <conditionalFormatting sqref="B902:C902">
    <cfRule type="expression" dxfId="23" priority="312" stopIfTrue="1">
      <formula>(#REF!=TRUE)</formula>
    </cfRule>
  </conditionalFormatting>
  <conditionalFormatting sqref="B945:C947 B957:C959">
    <cfRule type="expression" dxfId="22" priority="313" stopIfTrue="1">
      <formula>(#REF!=TRUE)</formula>
    </cfRule>
  </conditionalFormatting>
  <conditionalFormatting sqref="B990:C990">
    <cfRule type="expression" dxfId="21" priority="310" stopIfTrue="1">
      <formula>(ROUND(#REF!,0)&lt;&gt;0)</formula>
    </cfRule>
  </conditionalFormatting>
  <conditionalFormatting sqref="B1110:C1111">
    <cfRule type="expression" dxfId="20" priority="218" stopIfTrue="1">
      <formula>CONTR_CORSIAapplied=FALSE</formula>
    </cfRule>
  </conditionalFormatting>
  <conditionalFormatting sqref="B1117:C1126">
    <cfRule type="expression" dxfId="19" priority="206">
      <formula>CONTR_onlyCORSIA=TRUE</formula>
    </cfRule>
  </conditionalFormatting>
  <conditionalFormatting sqref="B1125:C1126">
    <cfRule type="expression" dxfId="18" priority="327" stopIfTrue="1">
      <formula>(#REF!=TRUE)</formula>
    </cfRule>
  </conditionalFormatting>
  <conditionalFormatting sqref="B1127:C1130">
    <cfRule type="expression" dxfId="17" priority="202">
      <formula>CONTR_CORSIAapplied=FALSE</formula>
    </cfRule>
  </conditionalFormatting>
  <conditionalFormatting sqref="B1131:C1137">
    <cfRule type="expression" dxfId="16" priority="195" stopIfTrue="1">
      <formula>CONTR_CORSIAapplied=FALSE</formula>
    </cfRule>
  </conditionalFormatting>
  <conditionalFormatting sqref="B1140:C1140">
    <cfRule type="expression" dxfId="15" priority="194">
      <formula>CONTR_onlyCORSIA=TRUE</formula>
    </cfRule>
  </conditionalFormatting>
  <conditionalFormatting sqref="B1141:C1142">
    <cfRule type="expression" dxfId="14" priority="192">
      <formula>CONTR_CORSIAapplied=FALSE</formula>
    </cfRule>
  </conditionalFormatting>
  <conditionalFormatting sqref="B1144:C1144">
    <cfRule type="expression" dxfId="13" priority="191">
      <formula>CONTR_onlyCORSIA=TRUE</formula>
    </cfRule>
  </conditionalFormatting>
  <conditionalFormatting sqref="B1158:C1193">
    <cfRule type="expression" dxfId="12" priority="148">
      <formula>CONTR_CORSIAapplied=FALSE</formula>
    </cfRule>
  </conditionalFormatting>
  <conditionalFormatting sqref="B1174:C1180">
    <cfRule type="expression" dxfId="11" priority="161">
      <formula>AND(CNTR_ReportingYear&lt;2021,CNTR_ReportingYear&lt;&gt;"")</formula>
    </cfRule>
  </conditionalFormatting>
  <conditionalFormatting sqref="B1262:C1276">
    <cfRule type="expression" dxfId="10" priority="100">
      <formula>CONTR_onlyCORSIA=TRUE</formula>
    </cfRule>
  </conditionalFormatting>
  <conditionalFormatting sqref="B1277:C1277">
    <cfRule type="expression" dxfId="9" priority="99">
      <formula>CONTR_CORSIAapplied=FALSE</formula>
    </cfRule>
  </conditionalFormatting>
  <conditionalFormatting sqref="B1279:C1285">
    <cfRule type="expression" dxfId="8" priority="92">
      <formula>CONTR_onlyCORSIA=TRUE</formula>
    </cfRule>
  </conditionalFormatting>
  <conditionalFormatting sqref="B1287:C1288">
    <cfRule type="expression" dxfId="7" priority="90">
      <formula>CONTR_onlyCORSIA=TRUE</formula>
    </cfRule>
  </conditionalFormatting>
  <conditionalFormatting sqref="B1292:C1292">
    <cfRule type="expression" dxfId="6" priority="89">
      <formula>CONTR_onlyCORSIA=TRUE</formula>
    </cfRule>
  </conditionalFormatting>
  <conditionalFormatting sqref="B1314:C1314">
    <cfRule type="expression" dxfId="5" priority="86">
      <formula>CONTR_onlyCORSIA=TRUE</formula>
    </cfRule>
  </conditionalFormatting>
  <conditionalFormatting sqref="B1316:C1316">
    <cfRule type="expression" dxfId="4" priority="85">
      <formula>CONTR_onlyCORSIA=TRUE</formula>
    </cfRule>
  </conditionalFormatting>
  <conditionalFormatting sqref="B1353:C1353">
    <cfRule type="expression" dxfId="3" priority="41">
      <formula>CONTR_onlyCORSIA=TRUE</formula>
    </cfRule>
  </conditionalFormatting>
  <conditionalFormatting sqref="B1355:C1364">
    <cfRule type="expression" dxfId="2" priority="31">
      <formula>CONTR_onlyCORSIA=TRUE</formula>
    </cfRule>
  </conditionalFormatting>
  <conditionalFormatting sqref="B1366:C1395">
    <cfRule type="expression" dxfId="1" priority="1">
      <formula>CONTR_onlyCORSIA=TRUE</formula>
    </cfRule>
  </conditionalFormatting>
  <conditionalFormatting sqref="C1317">
    <cfRule type="expression" dxfId="0" priority="84" stopIfTrue="1">
      <formula>(#REF!=TRUE)</formula>
    </cfRule>
  </conditionalFormatting>
  <hyperlinks>
    <hyperlink ref="C36" r:id="rId1" xr:uid="{00000000-0004-0000-0E00-000000000000}"/>
    <hyperlink ref="C38" r:id="rId2" xr:uid="{00000000-0004-0000-0E00-000001000000}"/>
    <hyperlink ref="B1322" r:id="rId3" xr:uid="{00000000-0004-0000-0E00-000002000000}"/>
  </hyperlinks>
  <pageMargins left="0.7" right="0.7" top="0.78740157499999996" bottom="0.78740157499999996" header="0.3" footer="0.3"/>
  <pageSetup paperSize="132" orientation="portrait" r:id="rId4"/>
  <headerFooter>
    <oddHeader>&amp;L&amp;F, &amp;A&amp;R&amp;D, &amp;T</oddHeader>
    <oddFooter>&amp;C&amp;P / &amp;N</oddFooter>
  </headerFooter>
  <legacy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tabColor indexed="57"/>
    <pageSetUpPr fitToPage="1"/>
  </sheetPr>
  <dimension ref="A1:E113"/>
  <sheetViews>
    <sheetView zoomScale="115" zoomScaleNormal="115" workbookViewId="0">
      <selection activeCell="C5" sqref="C5"/>
    </sheetView>
  </sheetViews>
  <sheetFormatPr defaultColWidth="11.44140625" defaultRowHeight="13.2" x14ac:dyDescent="0.25"/>
  <cols>
    <col min="1" max="1" width="17.109375" customWidth="1"/>
    <col min="2" max="2" width="34.5546875" customWidth="1"/>
    <col min="3" max="3" width="15.109375" customWidth="1"/>
  </cols>
  <sheetData>
    <row r="1" spans="1:5" ht="13.8" thickBot="1" x14ac:dyDescent="0.3">
      <c r="A1" s="14" t="s">
        <v>1783</v>
      </c>
    </row>
    <row r="2" spans="1:5" ht="13.8" thickBot="1" x14ac:dyDescent="0.3">
      <c r="A2" s="28" t="s">
        <v>1784</v>
      </c>
      <c r="B2" s="29" t="s">
        <v>1785</v>
      </c>
    </row>
    <row r="3" spans="1:5" ht="13.8" thickBot="1" x14ac:dyDescent="0.3">
      <c r="A3" s="30" t="s">
        <v>1786</v>
      </c>
      <c r="B3" s="31">
        <v>45679</v>
      </c>
      <c r="C3" s="32" t="str">
        <f>IF(ISNUMBER(MATCH(B3,A25:A51,0)),VLOOKUP(B3,A25:B51,2,FALSE),"---")</f>
        <v>AER AO 2024_COM_en_220125.xls</v>
      </c>
      <c r="D3" s="33"/>
      <c r="E3" s="34"/>
    </row>
    <row r="4" spans="1:5" x14ac:dyDescent="0.25">
      <c r="A4" s="35" t="s">
        <v>1787</v>
      </c>
      <c r="B4" s="36" t="s">
        <v>1788</v>
      </c>
    </row>
    <row r="5" spans="1:5" ht="13.8" thickBot="1" x14ac:dyDescent="0.3">
      <c r="A5" s="37" t="s">
        <v>1789</v>
      </c>
      <c r="B5" s="38" t="s">
        <v>1599</v>
      </c>
    </row>
    <row r="7" spans="1:5" x14ac:dyDescent="0.25">
      <c r="A7" s="14" t="s">
        <v>1790</v>
      </c>
    </row>
    <row r="8" spans="1:5" x14ac:dyDescent="0.25">
      <c r="A8" s="5" t="s">
        <v>1791</v>
      </c>
      <c r="B8" s="5"/>
      <c r="C8" s="5" t="s">
        <v>1792</v>
      </c>
    </row>
    <row r="9" spans="1:5" x14ac:dyDescent="0.25">
      <c r="A9" s="5" t="s">
        <v>1793</v>
      </c>
      <c r="B9" s="5"/>
      <c r="C9" s="5" t="s">
        <v>1794</v>
      </c>
    </row>
    <row r="10" spans="1:5" x14ac:dyDescent="0.25">
      <c r="A10" s="5" t="s">
        <v>1795</v>
      </c>
      <c r="B10" s="5"/>
      <c r="C10" s="5" t="s">
        <v>1796</v>
      </c>
    </row>
    <row r="11" spans="1:5" x14ac:dyDescent="0.25">
      <c r="A11" s="5" t="s">
        <v>1797</v>
      </c>
      <c r="B11" s="5"/>
      <c r="C11" s="5" t="s">
        <v>1798</v>
      </c>
    </row>
    <row r="12" spans="1:5" x14ac:dyDescent="0.25">
      <c r="A12" s="5" t="s">
        <v>1799</v>
      </c>
      <c r="B12" s="5"/>
      <c r="C12" s="5" t="s">
        <v>1800</v>
      </c>
    </row>
    <row r="13" spans="1:5" x14ac:dyDescent="0.25">
      <c r="A13" s="5" t="s">
        <v>1801</v>
      </c>
      <c r="B13" s="5"/>
      <c r="C13" s="5" t="s">
        <v>1802</v>
      </c>
    </row>
    <row r="14" spans="1:5" x14ac:dyDescent="0.25">
      <c r="A14" s="5" t="s">
        <v>1803</v>
      </c>
      <c r="B14" s="5"/>
      <c r="C14" s="5" t="s">
        <v>1804</v>
      </c>
    </row>
    <row r="15" spans="1:5" x14ac:dyDescent="0.25">
      <c r="A15" s="50" t="s">
        <v>1805</v>
      </c>
      <c r="B15" s="5"/>
      <c r="C15" s="50" t="s">
        <v>1806</v>
      </c>
    </row>
    <row r="16" spans="1:5" x14ac:dyDescent="0.25">
      <c r="A16" s="50" t="s">
        <v>1807</v>
      </c>
      <c r="B16" s="5"/>
      <c r="C16" s="50" t="s">
        <v>1808</v>
      </c>
    </row>
    <row r="17" spans="1:4" x14ac:dyDescent="0.25">
      <c r="A17" s="50" t="s">
        <v>1809</v>
      </c>
      <c r="B17" s="5"/>
      <c r="C17" s="50" t="s">
        <v>1810</v>
      </c>
    </row>
    <row r="18" spans="1:4" x14ac:dyDescent="0.25">
      <c r="A18" s="50" t="s">
        <v>1811</v>
      </c>
      <c r="B18" s="5"/>
      <c r="C18" s="50" t="s">
        <v>1812</v>
      </c>
    </row>
    <row r="19" spans="1:4" x14ac:dyDescent="0.25">
      <c r="A19" s="50" t="s">
        <v>1813</v>
      </c>
      <c r="B19" s="5"/>
      <c r="C19" s="50" t="s">
        <v>1814</v>
      </c>
    </row>
    <row r="20" spans="1:4" x14ac:dyDescent="0.25">
      <c r="A20" s="50" t="s">
        <v>1785</v>
      </c>
      <c r="B20" s="5"/>
      <c r="C20" s="50" t="s">
        <v>1815</v>
      </c>
    </row>
    <row r="21" spans="1:4" x14ac:dyDescent="0.25">
      <c r="A21" s="50"/>
      <c r="B21" s="5"/>
      <c r="C21" s="50"/>
    </row>
    <row r="22" spans="1:4" x14ac:dyDescent="0.25">
      <c r="A22" s="50"/>
      <c r="B22" s="5"/>
      <c r="C22" s="50"/>
    </row>
    <row r="24" spans="1:4" x14ac:dyDescent="0.25">
      <c r="A24" s="14" t="s">
        <v>1816</v>
      </c>
      <c r="B24" s="14" t="s">
        <v>1817</v>
      </c>
      <c r="C24" s="14" t="s">
        <v>1818</v>
      </c>
    </row>
    <row r="25" spans="1:4" x14ac:dyDescent="0.25">
      <c r="A25" s="39">
        <v>41233</v>
      </c>
      <c r="B25" s="40" t="s">
        <v>1819</v>
      </c>
      <c r="C25" s="51" t="s">
        <v>1820</v>
      </c>
      <c r="D25" s="41"/>
    </row>
    <row r="26" spans="1:4" x14ac:dyDescent="0.25">
      <c r="A26" s="42">
        <v>41299</v>
      </c>
      <c r="B26" s="43" t="s">
        <v>1821</v>
      </c>
      <c r="C26" s="43" t="s">
        <v>1822</v>
      </c>
      <c r="D26" s="44"/>
    </row>
    <row r="27" spans="1:4" x14ac:dyDescent="0.25">
      <c r="A27" s="42">
        <v>41342</v>
      </c>
      <c r="B27" s="43" t="s">
        <v>1823</v>
      </c>
      <c r="C27" s="43" t="s">
        <v>1824</v>
      </c>
      <c r="D27" s="44"/>
    </row>
    <row r="28" spans="1:4" x14ac:dyDescent="0.25">
      <c r="A28" s="42">
        <v>41355</v>
      </c>
      <c r="B28" s="43" t="s">
        <v>1825</v>
      </c>
      <c r="C28" s="48" t="s">
        <v>1826</v>
      </c>
      <c r="D28" s="44"/>
    </row>
    <row r="29" spans="1:4" x14ac:dyDescent="0.25">
      <c r="A29" s="42">
        <v>41390</v>
      </c>
      <c r="B29" s="43" t="s">
        <v>1827</v>
      </c>
      <c r="C29" s="43" t="s">
        <v>1828</v>
      </c>
      <c r="D29" s="44"/>
    </row>
    <row r="30" spans="1:4" x14ac:dyDescent="0.25">
      <c r="A30" s="42">
        <v>42332</v>
      </c>
      <c r="B30" s="43" t="s">
        <v>1829</v>
      </c>
      <c r="C30" s="48" t="s">
        <v>1830</v>
      </c>
      <c r="D30" s="44"/>
    </row>
    <row r="31" spans="1:4" x14ac:dyDescent="0.25">
      <c r="A31" s="42">
        <v>42354</v>
      </c>
      <c r="B31" s="43" t="s">
        <v>1831</v>
      </c>
      <c r="C31" s="48" t="s">
        <v>1832</v>
      </c>
      <c r="D31" s="44"/>
    </row>
    <row r="32" spans="1:4" x14ac:dyDescent="0.25">
      <c r="A32" s="42">
        <v>43633</v>
      </c>
      <c r="B32" s="43" t="str">
        <f t="shared" ref="B32:B37" si="0">IF(ISBLANK($A32),"---", VLOOKUP($B$2,$A$8:$C$22,3,0) &amp; "_" &amp; VLOOKUP($B$4,$A$54:$B$86,2,0)&amp;"_"&amp;VLOOKUP($B$5,$A$89:$B$113,2,0)&amp;"_"&amp; TEXT(DAY($A32),"0#")&amp; TEXT(MONTH($A32),"0#")&amp; TEXT(YEAR($A32)-2000,"0#")&amp;".xls")</f>
        <v>AER AO 2024_COM_en_170619.xls</v>
      </c>
      <c r="C32" s="48" t="s">
        <v>1833</v>
      </c>
      <c r="D32" s="44"/>
    </row>
    <row r="33" spans="1:4" x14ac:dyDescent="0.25">
      <c r="A33" s="42">
        <v>43756</v>
      </c>
      <c r="B33" s="43" t="str">
        <f t="shared" si="0"/>
        <v>AER AO 2024_COM_en_181019.xls</v>
      </c>
      <c r="C33" s="48" t="s">
        <v>1834</v>
      </c>
      <c r="D33" s="44"/>
    </row>
    <row r="34" spans="1:4" x14ac:dyDescent="0.25">
      <c r="A34" s="42">
        <v>43814</v>
      </c>
      <c r="B34" s="43" t="str">
        <f t="shared" si="0"/>
        <v>AER AO 2024_COM_en_151219.xls</v>
      </c>
      <c r="C34" s="48" t="s">
        <v>1835</v>
      </c>
      <c r="D34" s="44"/>
    </row>
    <row r="35" spans="1:4" x14ac:dyDescent="0.25">
      <c r="A35" s="42">
        <v>43852</v>
      </c>
      <c r="B35" s="43" t="str">
        <f t="shared" si="0"/>
        <v>AER AO 2024_COM_en_220120.xls</v>
      </c>
      <c r="C35" s="48" t="s">
        <v>1836</v>
      </c>
      <c r="D35" s="44"/>
    </row>
    <row r="36" spans="1:4" x14ac:dyDescent="0.25">
      <c r="A36" s="42">
        <v>44103</v>
      </c>
      <c r="B36" s="43" t="str">
        <f t="shared" si="0"/>
        <v>AER AO 2024_COM_en_290920.xls</v>
      </c>
      <c r="C36" s="48" t="s">
        <v>1837</v>
      </c>
      <c r="D36" s="44"/>
    </row>
    <row r="37" spans="1:4" x14ac:dyDescent="0.25">
      <c r="A37" s="42">
        <v>44153</v>
      </c>
      <c r="B37" s="43" t="str">
        <f t="shared" si="0"/>
        <v>AER AO 2024_COM_en_181120.xls</v>
      </c>
      <c r="C37" s="48" t="s">
        <v>1838</v>
      </c>
      <c r="D37" s="44"/>
    </row>
    <row r="38" spans="1:4" x14ac:dyDescent="0.25">
      <c r="A38" s="42">
        <v>44399</v>
      </c>
      <c r="B38" s="43" t="str">
        <f>IF(ISBLANK($A38),"---", VLOOKUP($B$2,$A$8:$C$22,3,0) &amp; "_" &amp; VLOOKUP($B$4,$A$54:$B$86,2,0)&amp;"_"&amp;VLOOKUP($B$5,$A$89:$B$113,2,0)&amp;"_"&amp; TEXT(DAY($A38),"0#")&amp; TEXT(MONTH($A38),"0#")&amp; TEXT(YEAR($A38)-2000,"0#")&amp;".xls")</f>
        <v>AER AO 2024_COM_en_220721.xls</v>
      </c>
      <c r="C38" s="48" t="s">
        <v>1839</v>
      </c>
      <c r="D38" s="44"/>
    </row>
    <row r="39" spans="1:4" x14ac:dyDescent="0.25">
      <c r="A39" s="42">
        <v>44601</v>
      </c>
      <c r="B39" s="43" t="str">
        <f t="shared" ref="B39:B50" si="1">IF(ISBLANK($A39),"---", VLOOKUP($B$2,$A$8:$C$22,3,0) &amp; "_" &amp; VLOOKUP($B$4,$A$54:$B$86,2,0)&amp;"_"&amp;VLOOKUP($B$5,$A$89:$B$113,2,0)&amp;"_"&amp; TEXT(DAY($A39),"0#")&amp; TEXT(MONTH($A39),"0#")&amp; TEXT(YEAR($A39)-2000,"0#")&amp;".xls")</f>
        <v>AER AO 2024_COM_en_090222.xls</v>
      </c>
      <c r="C39" s="48" t="s">
        <v>1840</v>
      </c>
      <c r="D39" s="44"/>
    </row>
    <row r="40" spans="1:4" x14ac:dyDescent="0.25">
      <c r="A40" s="42">
        <v>45243</v>
      </c>
      <c r="B40" s="43" t="str">
        <f t="shared" si="1"/>
        <v>AER AO 2024_COM_en_131123.xls</v>
      </c>
      <c r="C40" s="48" t="s">
        <v>1841</v>
      </c>
      <c r="D40" s="44"/>
    </row>
    <row r="41" spans="1:4" x14ac:dyDescent="0.25">
      <c r="A41" s="42">
        <v>45267</v>
      </c>
      <c r="B41" s="43" t="str">
        <f t="shared" si="1"/>
        <v>AER AO 2024_COM_en_071223.xls</v>
      </c>
      <c r="C41" s="48" t="s">
        <v>1842</v>
      </c>
      <c r="D41" s="44"/>
    </row>
    <row r="42" spans="1:4" x14ac:dyDescent="0.25">
      <c r="A42" s="42">
        <v>45281</v>
      </c>
      <c r="B42" s="43" t="str">
        <f t="shared" si="1"/>
        <v>AER AO 2024_COM_en_211223.xls</v>
      </c>
      <c r="C42" s="48" t="s">
        <v>1843</v>
      </c>
      <c r="D42" s="44"/>
    </row>
    <row r="43" spans="1:4" x14ac:dyDescent="0.25">
      <c r="A43" s="42">
        <v>45306</v>
      </c>
      <c r="B43" s="43" t="str">
        <f t="shared" si="1"/>
        <v>AER AO 2024_COM_en_150124.xls</v>
      </c>
      <c r="C43" s="48" t="s">
        <v>1844</v>
      </c>
      <c r="D43" s="44"/>
    </row>
    <row r="44" spans="1:4" x14ac:dyDescent="0.25">
      <c r="A44" s="42">
        <v>45362</v>
      </c>
      <c r="B44" s="43" t="str">
        <f t="shared" si="1"/>
        <v>AER AO 2024_COM_en_110324.xls</v>
      </c>
      <c r="C44" s="48" t="s">
        <v>1845</v>
      </c>
      <c r="D44" s="44"/>
    </row>
    <row r="45" spans="1:4" x14ac:dyDescent="0.25">
      <c r="A45" s="42">
        <v>45667</v>
      </c>
      <c r="B45" s="43" t="str">
        <f t="shared" si="1"/>
        <v>AER AO 2024_COM_en_100125.xls</v>
      </c>
      <c r="C45" s="48" t="s">
        <v>1846</v>
      </c>
      <c r="D45" s="44"/>
    </row>
    <row r="46" spans="1:4" x14ac:dyDescent="0.25">
      <c r="A46" s="42">
        <v>45679</v>
      </c>
      <c r="B46" s="43" t="str">
        <f t="shared" si="1"/>
        <v>AER AO 2024_COM_en_220125.xls</v>
      </c>
      <c r="C46" s="48" t="s">
        <v>2042</v>
      </c>
      <c r="D46" s="44"/>
    </row>
    <row r="47" spans="1:4" x14ac:dyDescent="0.25">
      <c r="A47" s="42"/>
      <c r="B47" s="43" t="str">
        <f t="shared" si="1"/>
        <v>---</v>
      </c>
      <c r="C47" s="48"/>
      <c r="D47" s="44"/>
    </row>
    <row r="48" spans="1:4" x14ac:dyDescent="0.25">
      <c r="A48" s="42"/>
      <c r="B48" s="43" t="str">
        <f t="shared" si="1"/>
        <v>---</v>
      </c>
      <c r="C48" s="48"/>
      <c r="D48" s="44"/>
    </row>
    <row r="49" spans="1:4" x14ac:dyDescent="0.25">
      <c r="A49" s="42"/>
      <c r="B49" s="43" t="str">
        <f t="shared" si="1"/>
        <v>---</v>
      </c>
      <c r="C49" s="48"/>
      <c r="D49" s="44"/>
    </row>
    <row r="50" spans="1:4" x14ac:dyDescent="0.25">
      <c r="A50" s="42"/>
      <c r="B50" s="43" t="str">
        <f t="shared" si="1"/>
        <v>---</v>
      </c>
      <c r="C50" s="48"/>
      <c r="D50" s="44"/>
    </row>
    <row r="51" spans="1:4" x14ac:dyDescent="0.25">
      <c r="A51" s="45"/>
      <c r="B51" s="46" t="str">
        <f>IF(ISBLANK($A51),"---", VLOOKUP($B$2,$A$8:$C$22,3,0) &amp; "_" &amp; VLOOKUP($B$4,$A$54:$B$86,2,0)&amp;"_"&amp;VLOOKUP($B$5,$A$89:$B$113,2,0)&amp;"_"&amp; TEXT(DAY($A51),"0#")&amp; TEXT(MONTH($A51),"0#")&amp; TEXT(YEAR($A51)-2000,"0#")&amp;".xls")</f>
        <v>---</v>
      </c>
      <c r="C51" s="46"/>
      <c r="D51" s="47"/>
    </row>
    <row r="53" spans="1:4" x14ac:dyDescent="0.25">
      <c r="A53" s="14" t="s">
        <v>1787</v>
      </c>
    </row>
    <row r="54" spans="1:4" x14ac:dyDescent="0.25">
      <c r="A54" s="27" t="s">
        <v>1788</v>
      </c>
      <c r="B54" s="27" t="s">
        <v>1847</v>
      </c>
    </row>
    <row r="55" spans="1:4" x14ac:dyDescent="0.25">
      <c r="A55" s="27" t="s">
        <v>1848</v>
      </c>
      <c r="B55" s="27" t="s">
        <v>1849</v>
      </c>
    </row>
    <row r="56" spans="1:4" x14ac:dyDescent="0.25">
      <c r="A56" s="27" t="s">
        <v>763</v>
      </c>
      <c r="B56" s="27" t="s">
        <v>1850</v>
      </c>
    </row>
    <row r="57" spans="1:4" x14ac:dyDescent="0.25">
      <c r="A57" s="27" t="s">
        <v>764</v>
      </c>
      <c r="B57" s="27" t="s">
        <v>1851</v>
      </c>
    </row>
    <row r="58" spans="1:4" x14ac:dyDescent="0.25">
      <c r="A58" s="27" t="s">
        <v>765</v>
      </c>
      <c r="B58" s="27" t="s">
        <v>1852</v>
      </c>
    </row>
    <row r="59" spans="1:4" x14ac:dyDescent="0.25">
      <c r="A59" s="27" t="s">
        <v>766</v>
      </c>
      <c r="B59" s="27" t="s">
        <v>1853</v>
      </c>
    </row>
    <row r="60" spans="1:4" x14ac:dyDescent="0.25">
      <c r="A60" s="27" t="s">
        <v>767</v>
      </c>
      <c r="B60" s="27" t="s">
        <v>1854</v>
      </c>
    </row>
    <row r="61" spans="1:4" x14ac:dyDescent="0.25">
      <c r="A61" s="394" t="s">
        <v>768</v>
      </c>
      <c r="B61" s="27" t="s">
        <v>1855</v>
      </c>
    </row>
    <row r="62" spans="1:4" x14ac:dyDescent="0.25">
      <c r="A62" s="27" t="s">
        <v>769</v>
      </c>
      <c r="B62" s="27" t="s">
        <v>1856</v>
      </c>
    </row>
    <row r="63" spans="1:4" x14ac:dyDescent="0.25">
      <c r="A63" s="27" t="s">
        <v>770</v>
      </c>
      <c r="B63" s="27" t="s">
        <v>1857</v>
      </c>
    </row>
    <row r="64" spans="1:4" x14ac:dyDescent="0.25">
      <c r="A64" s="27" t="s">
        <v>771</v>
      </c>
      <c r="B64" s="27" t="s">
        <v>1858</v>
      </c>
    </row>
    <row r="65" spans="1:2" x14ac:dyDescent="0.25">
      <c r="A65" s="27" t="s">
        <v>772</v>
      </c>
      <c r="B65" s="27" t="s">
        <v>1859</v>
      </c>
    </row>
    <row r="66" spans="1:2" x14ac:dyDescent="0.25">
      <c r="A66" s="27" t="s">
        <v>773</v>
      </c>
      <c r="B66" s="27" t="s">
        <v>1860</v>
      </c>
    </row>
    <row r="67" spans="1:2" x14ac:dyDescent="0.25">
      <c r="A67" s="27" t="s">
        <v>774</v>
      </c>
      <c r="B67" s="27" t="s">
        <v>1861</v>
      </c>
    </row>
    <row r="68" spans="1:2" x14ac:dyDescent="0.25">
      <c r="A68" s="27" t="s">
        <v>775</v>
      </c>
      <c r="B68" s="27" t="s">
        <v>1862</v>
      </c>
    </row>
    <row r="69" spans="1:2" x14ac:dyDescent="0.25">
      <c r="A69" s="27" t="s">
        <v>776</v>
      </c>
      <c r="B69" s="27" t="s">
        <v>1863</v>
      </c>
    </row>
    <row r="70" spans="1:2" x14ac:dyDescent="0.25">
      <c r="A70" s="27" t="s">
        <v>777</v>
      </c>
      <c r="B70" s="27" t="s">
        <v>1864</v>
      </c>
    </row>
    <row r="71" spans="1:2" x14ac:dyDescent="0.25">
      <c r="A71" s="27" t="s">
        <v>778</v>
      </c>
      <c r="B71" s="27" t="s">
        <v>1865</v>
      </c>
    </row>
    <row r="72" spans="1:2" x14ac:dyDescent="0.25">
      <c r="A72" s="27" t="s">
        <v>779</v>
      </c>
      <c r="B72" s="27" t="s">
        <v>1866</v>
      </c>
    </row>
    <row r="73" spans="1:2" x14ac:dyDescent="0.25">
      <c r="A73" s="27" t="s">
        <v>780</v>
      </c>
      <c r="B73" s="27" t="s">
        <v>1867</v>
      </c>
    </row>
    <row r="74" spans="1:2" x14ac:dyDescent="0.25">
      <c r="A74" s="27" t="s">
        <v>781</v>
      </c>
      <c r="B74" s="27" t="s">
        <v>1868</v>
      </c>
    </row>
    <row r="75" spans="1:2" x14ac:dyDescent="0.25">
      <c r="A75" s="27" t="s">
        <v>782</v>
      </c>
      <c r="B75" s="27" t="s">
        <v>1869</v>
      </c>
    </row>
    <row r="76" spans="1:2" x14ac:dyDescent="0.25">
      <c r="A76" s="27" t="s">
        <v>783</v>
      </c>
      <c r="B76" s="27" t="s">
        <v>1870</v>
      </c>
    </row>
    <row r="77" spans="1:2" x14ac:dyDescent="0.25">
      <c r="A77" s="27" t="s">
        <v>784</v>
      </c>
      <c r="B77" s="27" t="s">
        <v>1871</v>
      </c>
    </row>
    <row r="78" spans="1:2" x14ac:dyDescent="0.25">
      <c r="A78" s="27" t="s">
        <v>785</v>
      </c>
      <c r="B78" s="27" t="s">
        <v>1872</v>
      </c>
    </row>
    <row r="79" spans="1:2" x14ac:dyDescent="0.25">
      <c r="A79" s="27" t="s">
        <v>786</v>
      </c>
      <c r="B79" s="27" t="s">
        <v>1873</v>
      </c>
    </row>
    <row r="80" spans="1:2" x14ac:dyDescent="0.25">
      <c r="A80" s="27" t="s">
        <v>787</v>
      </c>
      <c r="B80" s="27" t="s">
        <v>1874</v>
      </c>
    </row>
    <row r="81" spans="1:2" x14ac:dyDescent="0.25">
      <c r="A81" s="27" t="s">
        <v>788</v>
      </c>
      <c r="B81" s="27" t="s">
        <v>1875</v>
      </c>
    </row>
    <row r="82" spans="1:2" x14ac:dyDescent="0.25">
      <c r="A82" s="27" t="s">
        <v>789</v>
      </c>
      <c r="B82" s="27" t="s">
        <v>1876</v>
      </c>
    </row>
    <row r="83" spans="1:2" x14ac:dyDescent="0.25">
      <c r="A83" s="27" t="s">
        <v>790</v>
      </c>
      <c r="B83" s="27" t="s">
        <v>1877</v>
      </c>
    </row>
    <row r="84" spans="1:2" x14ac:dyDescent="0.25">
      <c r="A84" s="27" t="s">
        <v>791</v>
      </c>
      <c r="B84" s="27" t="s">
        <v>1878</v>
      </c>
    </row>
    <row r="85" spans="1:2" x14ac:dyDescent="0.25">
      <c r="A85" s="27" t="s">
        <v>792</v>
      </c>
      <c r="B85" s="27" t="s">
        <v>1879</v>
      </c>
    </row>
    <row r="86" spans="1:2" x14ac:dyDescent="0.25">
      <c r="A86" s="27" t="s">
        <v>793</v>
      </c>
      <c r="B86" s="27" t="s">
        <v>1880</v>
      </c>
    </row>
    <row r="88" spans="1:2" x14ac:dyDescent="0.25">
      <c r="A88" s="14" t="s">
        <v>1881</v>
      </c>
    </row>
    <row r="89" spans="1:2" x14ac:dyDescent="0.25">
      <c r="A89" s="573" t="s">
        <v>1591</v>
      </c>
      <c r="B89" s="573" t="s">
        <v>1882</v>
      </c>
    </row>
    <row r="90" spans="1:2" x14ac:dyDescent="0.25">
      <c r="A90" s="573" t="s">
        <v>1592</v>
      </c>
      <c r="B90" s="573" t="s">
        <v>1883</v>
      </c>
    </row>
    <row r="91" spans="1:2" x14ac:dyDescent="0.25">
      <c r="A91" s="573" t="s">
        <v>1593</v>
      </c>
      <c r="B91" s="573" t="s">
        <v>1884</v>
      </c>
    </row>
    <row r="92" spans="1:2" x14ac:dyDescent="0.25">
      <c r="A92" s="573" t="s">
        <v>1594</v>
      </c>
      <c r="B92" s="573" t="s">
        <v>1885</v>
      </c>
    </row>
    <row r="93" spans="1:2" x14ac:dyDescent="0.25">
      <c r="A93" s="573" t="s">
        <v>1595</v>
      </c>
      <c r="B93" s="573" t="s">
        <v>1886</v>
      </c>
    </row>
    <row r="94" spans="1:2" x14ac:dyDescent="0.25">
      <c r="A94" s="573" t="s">
        <v>1596</v>
      </c>
      <c r="B94" s="573" t="s">
        <v>1887</v>
      </c>
    </row>
    <row r="95" spans="1:2" x14ac:dyDescent="0.25">
      <c r="A95" s="573" t="s">
        <v>1597</v>
      </c>
      <c r="B95" s="573" t="s">
        <v>1888</v>
      </c>
    </row>
    <row r="96" spans="1:2" x14ac:dyDescent="0.25">
      <c r="A96" s="573" t="s">
        <v>1598</v>
      </c>
      <c r="B96" s="573" t="s">
        <v>1889</v>
      </c>
    </row>
    <row r="97" spans="1:2" x14ac:dyDescent="0.25">
      <c r="A97" s="573" t="s">
        <v>1599</v>
      </c>
      <c r="B97" s="573" t="s">
        <v>1890</v>
      </c>
    </row>
    <row r="98" spans="1:2" x14ac:dyDescent="0.25">
      <c r="A98" s="573" t="s">
        <v>1600</v>
      </c>
      <c r="B98" s="573" t="s">
        <v>1891</v>
      </c>
    </row>
    <row r="99" spans="1:2" x14ac:dyDescent="0.25">
      <c r="A99" s="573" t="s">
        <v>1601</v>
      </c>
      <c r="B99" s="573" t="s">
        <v>1892</v>
      </c>
    </row>
    <row r="100" spans="1:2" x14ac:dyDescent="0.25">
      <c r="A100" s="573" t="s">
        <v>1602</v>
      </c>
      <c r="B100" s="573" t="s">
        <v>1893</v>
      </c>
    </row>
    <row r="101" spans="1:2" x14ac:dyDescent="0.25">
      <c r="A101" s="573" t="s">
        <v>1603</v>
      </c>
      <c r="B101" s="573" t="s">
        <v>1894</v>
      </c>
    </row>
    <row r="102" spans="1:2" x14ac:dyDescent="0.25">
      <c r="A102" s="573" t="s">
        <v>1604</v>
      </c>
      <c r="B102" s="573" t="s">
        <v>1895</v>
      </c>
    </row>
    <row r="103" spans="1:2" x14ac:dyDescent="0.25">
      <c r="A103" s="573" t="s">
        <v>1605</v>
      </c>
      <c r="B103" s="573" t="s">
        <v>1896</v>
      </c>
    </row>
    <row r="104" spans="1:2" x14ac:dyDescent="0.25">
      <c r="A104" s="573" t="s">
        <v>1606</v>
      </c>
      <c r="B104" s="573" t="s">
        <v>1897</v>
      </c>
    </row>
    <row r="105" spans="1:2" x14ac:dyDescent="0.25">
      <c r="A105" s="573" t="s">
        <v>1607</v>
      </c>
      <c r="B105" s="573" t="s">
        <v>1898</v>
      </c>
    </row>
    <row r="106" spans="1:2" x14ac:dyDescent="0.25">
      <c r="A106" s="573" t="s">
        <v>1608</v>
      </c>
      <c r="B106" s="573" t="s">
        <v>1899</v>
      </c>
    </row>
    <row r="107" spans="1:2" x14ac:dyDescent="0.25">
      <c r="A107" s="573" t="s">
        <v>1609</v>
      </c>
      <c r="B107" s="573" t="s">
        <v>1900</v>
      </c>
    </row>
    <row r="108" spans="1:2" x14ac:dyDescent="0.25">
      <c r="A108" s="573" t="s">
        <v>1610</v>
      </c>
      <c r="B108" s="573" t="s">
        <v>1901</v>
      </c>
    </row>
    <row r="109" spans="1:2" x14ac:dyDescent="0.25">
      <c r="A109" s="573" t="s">
        <v>1611</v>
      </c>
      <c r="B109" s="573" t="s">
        <v>1902</v>
      </c>
    </row>
    <row r="110" spans="1:2" x14ac:dyDescent="0.25">
      <c r="A110" s="573" t="s">
        <v>1612</v>
      </c>
      <c r="B110" s="573" t="s">
        <v>1903</v>
      </c>
    </row>
    <row r="111" spans="1:2" x14ac:dyDescent="0.25">
      <c r="A111" s="573" t="s">
        <v>1613</v>
      </c>
      <c r="B111" s="573" t="s">
        <v>1904</v>
      </c>
    </row>
    <row r="112" spans="1:2" x14ac:dyDescent="0.25">
      <c r="A112" s="573" t="s">
        <v>1614</v>
      </c>
      <c r="B112" s="573" t="s">
        <v>1905</v>
      </c>
    </row>
    <row r="113" spans="1:2" x14ac:dyDescent="0.25">
      <c r="A113" s="573" t="s">
        <v>1615</v>
      </c>
      <c r="B113" s="573" t="s">
        <v>1906</v>
      </c>
    </row>
  </sheetData>
  <sheetProtection sheet="1" objects="1" scenarios="1" formatCells="0" formatColumns="0" formatRows="0" insertColumns="0" insertRows="0"/>
  <phoneticPr fontId="12" type="noConversion"/>
  <dataValidations count="4">
    <dataValidation type="list" allowBlank="1" showInputMessage="1" showErrorMessage="1" sqref="B2" xr:uid="{00000000-0002-0000-0F00-000000000000}">
      <formula1>$A$8:$A$22</formula1>
    </dataValidation>
    <dataValidation type="list" allowBlank="1" showInputMessage="1" showErrorMessage="1" sqref="B3" xr:uid="{00000000-0002-0000-0F00-000001000000}">
      <formula1>$A$25:$A$51</formula1>
    </dataValidation>
    <dataValidation type="list" allowBlank="1" showInputMessage="1" showErrorMessage="1" sqref="B4" xr:uid="{00000000-0002-0000-0F00-000002000000}">
      <formula1>$A$54:$A$86</formula1>
    </dataValidation>
    <dataValidation type="list" allowBlank="1" showInputMessage="1" showErrorMessage="1" sqref="B5" xr:uid="{00000000-0002-0000-0F00-000003000000}">
      <formula1>$A$89:$A$113</formula1>
    </dataValidation>
  </dataValidations>
  <pageMargins left="0.78740157499999996" right="0.78740157499999996" top="0.984251969" bottom="0.984251969" header="0.5" footer="0.5"/>
  <pageSetup paperSize="9" scale="61" orientation="portrait" r:id="rId1"/>
  <headerFooter alignWithMargins="0">
    <oddHeader>&amp;L&amp;F, &amp;A&amp;R&amp;D, &amp;T</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O171"/>
  <sheetViews>
    <sheetView showGridLines="0" zoomScale="115" zoomScaleNormal="115" zoomScaleSheetLayoutView="100" workbookViewId="0">
      <selection activeCell="B78" sqref="B78:L78"/>
    </sheetView>
  </sheetViews>
  <sheetFormatPr defaultColWidth="11.44140625" defaultRowHeight="13.2" x14ac:dyDescent="0.25"/>
  <cols>
    <col min="1" max="1" width="5.44140625" style="11" customWidth="1"/>
    <col min="2" max="2" width="7.44140625" customWidth="1"/>
    <col min="3" max="12" width="11.5546875" customWidth="1"/>
    <col min="13" max="13" width="5.44140625" customWidth="1"/>
    <col min="14" max="14" width="11.44140625" style="908"/>
    <col min="15" max="15" width="11.44140625" style="303"/>
  </cols>
  <sheetData>
    <row r="2" spans="1:15" ht="17.399999999999999" x14ac:dyDescent="0.25">
      <c r="B2" s="1008" t="str">
        <f>Translations!$B$33</f>
        <v>GUIDELINES AND CONDITIONS</v>
      </c>
      <c r="C2" s="1008"/>
      <c r="D2" s="1008"/>
      <c r="E2" s="1008"/>
      <c r="F2" s="1008"/>
      <c r="G2" s="1008"/>
      <c r="H2" s="1008"/>
      <c r="I2" s="1008"/>
      <c r="J2" s="1008"/>
    </row>
    <row r="3" spans="1:15" ht="13.35" customHeight="1" x14ac:dyDescent="0.25">
      <c r="B3" s="960"/>
      <c r="C3" s="960"/>
      <c r="D3" s="960"/>
      <c r="E3" s="960"/>
      <c r="F3" s="960"/>
      <c r="G3" s="960"/>
      <c r="H3" s="960"/>
      <c r="I3" s="960"/>
      <c r="J3" s="960"/>
      <c r="K3" s="960"/>
      <c r="L3" s="960"/>
    </row>
    <row r="4" spans="1:15" ht="13.35" customHeight="1" x14ac:dyDescent="0.25">
      <c r="A4" s="315" t="s">
        <v>21</v>
      </c>
      <c r="B4" s="1000" t="str">
        <f>Translations!$B$1049</f>
        <v>Legal basis</v>
      </c>
      <c r="C4" s="960"/>
      <c r="D4" s="960"/>
      <c r="E4" s="960"/>
      <c r="F4" s="960"/>
      <c r="G4" s="960"/>
      <c r="H4" s="960"/>
      <c r="I4" s="960"/>
      <c r="J4" s="960"/>
      <c r="K4" s="960"/>
      <c r="L4" s="960"/>
    </row>
    <row r="5" spans="1:15" ht="53.1" customHeight="1" x14ac:dyDescent="0.25">
      <c r="A5" s="315">
        <v>1</v>
      </c>
      <c r="B5" s="1016" t="str">
        <f>Translations!$B$1329</f>
        <v>Directive 2003/87/EC (the "EU ETS Directive") requires aircraft operators who are included in the EU Emission Trading System (the EU ETS) to monitor and report their emissions,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v>
      </c>
      <c r="C5" s="1017"/>
      <c r="D5" s="1017"/>
      <c r="E5" s="1017"/>
      <c r="F5" s="1017"/>
      <c r="G5" s="1017"/>
      <c r="H5" s="1017"/>
      <c r="I5" s="1017"/>
      <c r="J5" s="1017"/>
      <c r="K5" s="1017"/>
      <c r="L5" s="1017"/>
    </row>
    <row r="6" spans="1:15" ht="13.35" customHeight="1" x14ac:dyDescent="0.25">
      <c r="A6" s="315"/>
      <c r="B6" s="1004" t="str">
        <f>Translations!$B$1051</f>
        <v>The EU ETS Directive can be retrieved from:</v>
      </c>
      <c r="C6" s="1004"/>
      <c r="D6" s="1004"/>
      <c r="E6" s="1004"/>
      <c r="F6" s="1004"/>
      <c r="G6" s="1004"/>
      <c r="H6" s="1004"/>
      <c r="I6" s="1004"/>
      <c r="J6" s="1004"/>
      <c r="K6" s="1004"/>
      <c r="L6" s="1004"/>
    </row>
    <row r="7" spans="1:15" ht="13.35" customHeight="1" x14ac:dyDescent="0.25">
      <c r="A7" s="316"/>
      <c r="B7" s="997" t="str">
        <f>HYPERLINK(Translations!$B$1397,Translations!$B$1397)</f>
        <v>http://data.europa.eu/eli/dir/2003/87/2024-03-01</v>
      </c>
      <c r="C7" s="998"/>
      <c r="D7" s="998"/>
      <c r="E7" s="998"/>
      <c r="F7" s="998"/>
      <c r="G7" s="998"/>
      <c r="H7" s="998"/>
      <c r="I7" s="998"/>
      <c r="J7" s="998"/>
      <c r="K7" s="998"/>
      <c r="L7" s="998"/>
      <c r="N7" s="908" t="s">
        <v>23</v>
      </c>
    </row>
    <row r="8" spans="1:15" ht="26.7" customHeight="1" x14ac:dyDescent="0.25">
      <c r="A8" s="833" t="s">
        <v>29</v>
      </c>
      <c r="B8" s="1018" t="s">
        <v>1922</v>
      </c>
      <c r="C8" s="978"/>
      <c r="D8" s="978"/>
      <c r="E8" s="978"/>
      <c r="F8" s="978"/>
      <c r="G8" s="978"/>
      <c r="H8" s="978"/>
      <c r="I8" s="978"/>
      <c r="J8" s="978"/>
      <c r="K8" s="978"/>
      <c r="L8" s="978"/>
      <c r="N8" s="908" t="s">
        <v>11</v>
      </c>
    </row>
    <row r="9" spans="1:15" ht="38.25" customHeight="1" x14ac:dyDescent="0.25">
      <c r="A9" s="315">
        <v>2</v>
      </c>
      <c r="B9" s="1004" t="str">
        <f>Translations!$B$1053</f>
        <v>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v>
      </c>
      <c r="C9" s="1004"/>
      <c r="D9" s="1004"/>
      <c r="E9" s="1004"/>
      <c r="F9" s="1004"/>
      <c r="G9" s="1004"/>
      <c r="H9" s="1004"/>
      <c r="I9" s="1004"/>
      <c r="J9" s="1004"/>
      <c r="K9" s="1004"/>
      <c r="L9" s="1004"/>
    </row>
    <row r="10" spans="1:15" ht="53.1" customHeight="1" x14ac:dyDescent="0.25">
      <c r="A10" s="315"/>
      <c r="B10" s="1004" t="s">
        <v>1910</v>
      </c>
      <c r="C10" s="1004"/>
      <c r="D10" s="1004"/>
      <c r="E10" s="1004"/>
      <c r="F10" s="1004"/>
      <c r="G10" s="1004"/>
      <c r="H10" s="1004"/>
      <c r="I10" s="1004"/>
      <c r="J10" s="1004"/>
      <c r="K10" s="1004"/>
      <c r="L10" s="1004"/>
      <c r="N10" s="908" t="s">
        <v>13</v>
      </c>
    </row>
    <row r="11" spans="1:15" ht="26.4" customHeight="1" x14ac:dyDescent="0.25">
      <c r="A11" s="315"/>
      <c r="B11" s="996" t="s">
        <v>1909</v>
      </c>
      <c r="C11" s="960"/>
      <c r="D11" s="960"/>
      <c r="E11" s="960"/>
      <c r="F11" s="960"/>
      <c r="G11" s="960"/>
      <c r="H11" s="960"/>
      <c r="I11" s="960"/>
      <c r="J11" s="960"/>
      <c r="K11" s="960"/>
      <c r="L11" s="960"/>
      <c r="N11" s="908" t="s">
        <v>4</v>
      </c>
    </row>
    <row r="12" spans="1:15" ht="13.35" customHeight="1" x14ac:dyDescent="0.25">
      <c r="A12" s="315"/>
      <c r="B12" s="996" t="str">
        <f>Translations!$B$1055</f>
        <v>That delegated act can be downloaded from:</v>
      </c>
      <c r="C12" s="960"/>
      <c r="D12" s="960"/>
      <c r="E12" s="960"/>
      <c r="F12" s="960"/>
      <c r="G12" s="960"/>
      <c r="H12" s="960"/>
      <c r="I12" s="960"/>
      <c r="J12" s="960"/>
      <c r="K12" s="960"/>
      <c r="L12" s="960"/>
    </row>
    <row r="13" spans="1:15" ht="13.35" customHeight="1" x14ac:dyDescent="0.25">
      <c r="A13" s="315"/>
      <c r="B13" s="997" t="str">
        <f>HYPERLINK(Translations!$B$1056,Translations!$B$1056)</f>
        <v>https://eur-lex.europa.eu/eli/reg_del/2019/1603/oj</v>
      </c>
      <c r="C13" s="998"/>
      <c r="D13" s="998"/>
      <c r="E13" s="998"/>
      <c r="F13" s="998"/>
      <c r="G13" s="998"/>
      <c r="H13" s="998"/>
      <c r="I13" s="998"/>
      <c r="J13" s="998"/>
      <c r="K13" s="998"/>
      <c r="L13" s="998"/>
    </row>
    <row r="14" spans="1:15" ht="26.4" customHeight="1" x14ac:dyDescent="0.25">
      <c r="A14" s="315">
        <v>3</v>
      </c>
      <c r="B14" s="1004" t="str">
        <f>Translations!$B$1297</f>
        <v>The Monitoring and Reporting Regulation (Commission Implementing Regulation (EU) No 2018/2066, as amended, hereinafter the "MRR"), defines further requirements for monitoring and reporting. The MRR can be downloaded from:</v>
      </c>
      <c r="C14" s="1004"/>
      <c r="D14" s="1004"/>
      <c r="E14" s="1004"/>
      <c r="F14" s="1004"/>
      <c r="G14" s="1004"/>
      <c r="H14" s="1004"/>
      <c r="I14" s="1004"/>
      <c r="J14" s="1004"/>
      <c r="K14" s="1004"/>
      <c r="L14" s="1004"/>
    </row>
    <row r="15" spans="1:15" ht="13.35" customHeight="1" x14ac:dyDescent="0.25">
      <c r="A15" s="315"/>
      <c r="B15" s="997" t="s">
        <v>24</v>
      </c>
      <c r="C15" s="998"/>
      <c r="D15" s="998"/>
      <c r="E15" s="998"/>
      <c r="F15" s="998"/>
      <c r="G15" s="998"/>
      <c r="H15" s="998"/>
      <c r="I15" s="998"/>
      <c r="J15" s="998"/>
      <c r="K15" s="998"/>
      <c r="L15" s="998"/>
      <c r="N15" s="908" t="s">
        <v>23</v>
      </c>
    </row>
    <row r="16" spans="1:15" ht="13.35" customHeight="1" x14ac:dyDescent="0.25">
      <c r="A16" s="315"/>
      <c r="B16" s="1004" t="s">
        <v>2044</v>
      </c>
      <c r="C16" s="1004"/>
      <c r="D16" s="1004"/>
      <c r="E16" s="1004"/>
      <c r="F16" s="1004"/>
      <c r="G16" s="1004"/>
      <c r="H16" s="1004"/>
      <c r="I16" s="1004"/>
      <c r="J16" s="1004"/>
      <c r="K16" s="1004"/>
      <c r="L16" s="1004"/>
      <c r="N16" s="908" t="s">
        <v>27</v>
      </c>
      <c r="O16" s="303" t="s">
        <v>2043</v>
      </c>
    </row>
    <row r="17" spans="1:15" ht="13.35" customHeight="1" x14ac:dyDescent="0.25">
      <c r="A17" s="315"/>
      <c r="B17" s="997" t="str">
        <f>HYPERLINK(Translations!$B$1399,Translations!$B$1399)</f>
        <v>http://data.europa.eu/eli/reg_impl/2024/2493/oj</v>
      </c>
      <c r="C17" s="998"/>
      <c r="D17" s="998"/>
      <c r="E17" s="998"/>
      <c r="F17" s="998"/>
      <c r="G17" s="998"/>
      <c r="H17" s="998"/>
      <c r="I17" s="998"/>
      <c r="J17" s="998"/>
      <c r="K17" s="998"/>
      <c r="L17" s="998"/>
    </row>
    <row r="18" spans="1:15" ht="13.35" customHeight="1" x14ac:dyDescent="0.25">
      <c r="A18" s="315"/>
      <c r="B18" s="557"/>
      <c r="C18" s="558"/>
      <c r="D18" s="558"/>
      <c r="E18" s="558"/>
      <c r="F18" s="558"/>
      <c r="G18" s="558"/>
      <c r="H18" s="558"/>
      <c r="I18" s="558"/>
      <c r="J18" s="558"/>
      <c r="K18" s="558"/>
      <c r="L18" s="558"/>
    </row>
    <row r="19" spans="1:15" ht="13.35" customHeight="1" x14ac:dyDescent="0.25">
      <c r="A19" s="315">
        <v>4</v>
      </c>
      <c r="B19" s="1015" t="str">
        <f>Translations!$B$1249</f>
        <v>Linking between the EU ETS and the Swiss ETS (CH ETS)</v>
      </c>
      <c r="C19" s="991"/>
      <c r="D19" s="991"/>
      <c r="E19" s="991"/>
      <c r="F19" s="991"/>
      <c r="G19" s="991"/>
      <c r="H19" s="991"/>
      <c r="I19" s="991"/>
      <c r="J19" s="991"/>
      <c r="K19" s="991"/>
      <c r="L19" s="991"/>
    </row>
    <row r="20" spans="1:15" ht="26.1" customHeight="1" x14ac:dyDescent="0.25">
      <c r="A20" s="315"/>
      <c r="B20" s="990" t="str">
        <f>Translations!$B$1250</f>
        <v>The EU and Switzerland have concluded an agreement on linking their respective greenhouse gas emission trading systems. The agreement, which can be found under the following internet link, has entered into force on 1 January 2020.</v>
      </c>
      <c r="C20" s="991"/>
      <c r="D20" s="991"/>
      <c r="E20" s="991"/>
      <c r="F20" s="991"/>
      <c r="G20" s="991"/>
      <c r="H20" s="991"/>
      <c r="I20" s="991"/>
      <c r="J20" s="991"/>
      <c r="K20" s="991"/>
      <c r="L20" s="991"/>
    </row>
    <row r="21" spans="1:15" ht="13.35" customHeight="1" x14ac:dyDescent="0.25">
      <c r="A21" s="315"/>
      <c r="B21" s="997" t="str">
        <f>HYPERLINK(Translations!$B$1400,Translations!$B$1400)</f>
        <v>http://data.europa.eu/eli/agree_internation/2017/2240/2023-11-15</v>
      </c>
      <c r="C21" s="998"/>
      <c r="D21" s="998"/>
      <c r="E21" s="998"/>
      <c r="F21" s="998"/>
      <c r="G21" s="998"/>
      <c r="H21" s="998"/>
      <c r="I21" s="998"/>
      <c r="J21" s="998"/>
      <c r="K21" s="998"/>
      <c r="L21" s="998"/>
      <c r="O21" s="303" t="s">
        <v>2048</v>
      </c>
    </row>
    <row r="22" spans="1:15" ht="26.1" customHeight="1" x14ac:dyDescent="0.25">
      <c r="A22" s="315"/>
      <c r="B22" s="990" t="str">
        <f>Translations!$B$1252</f>
        <v>Consequently, the EU ETS Directive has been amended to exclude flights arriving in an EEA country from aerodromes in Switzerland. This amendment is already included in the EU ETS Directive's consolidated version mentioned under point 1 above.</v>
      </c>
      <c r="C22" s="991"/>
      <c r="D22" s="991"/>
      <c r="E22" s="991"/>
      <c r="F22" s="991"/>
      <c r="G22" s="991"/>
      <c r="H22" s="991"/>
      <c r="I22" s="991"/>
      <c r="J22" s="991"/>
      <c r="K22" s="991"/>
      <c r="L22" s="991"/>
    </row>
    <row r="23" spans="1:15" ht="12.75" customHeight="1" x14ac:dyDescent="0.25">
      <c r="A23" s="315"/>
      <c r="B23" s="990" t="str">
        <f>Translations!$B$1253</f>
        <v>The excluded flights are covered by the Swiss ETS.</v>
      </c>
      <c r="C23" s="991"/>
      <c r="D23" s="991"/>
      <c r="E23" s="991"/>
      <c r="F23" s="991"/>
      <c r="G23" s="991"/>
      <c r="H23" s="991"/>
      <c r="I23" s="991"/>
      <c r="J23" s="991"/>
      <c r="K23" s="991"/>
      <c r="L23" s="991"/>
    </row>
    <row r="24" spans="1:15" ht="13.35" customHeight="1" x14ac:dyDescent="0.25">
      <c r="A24" s="315">
        <v>5</v>
      </c>
      <c r="B24" s="990" t="str">
        <f>Translations!$B$1254</f>
        <v xml:space="preserve">"One-stop-shop" principle: </v>
      </c>
      <c r="C24" s="991"/>
      <c r="D24" s="991"/>
      <c r="E24" s="991"/>
      <c r="F24" s="991"/>
      <c r="G24" s="991"/>
      <c r="H24" s="991"/>
      <c r="I24" s="991"/>
      <c r="J24" s="991"/>
      <c r="K24" s="991"/>
      <c r="L24" s="991"/>
    </row>
    <row r="25" spans="1:15" ht="57" customHeight="1" x14ac:dyDescent="0.25">
      <c r="A25" s="315"/>
      <c r="B25" s="990" t="str">
        <f>Translations!$B$1255</f>
        <v>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v>
      </c>
      <c r="C25" s="991"/>
      <c r="D25" s="991"/>
      <c r="E25" s="991"/>
      <c r="F25" s="991"/>
      <c r="G25" s="991"/>
      <c r="H25" s="991"/>
      <c r="I25" s="991"/>
      <c r="J25" s="991"/>
      <c r="K25" s="991"/>
      <c r="L25" s="991"/>
    </row>
    <row r="26" spans="1:15" ht="12.75" customHeight="1" x14ac:dyDescent="0.25">
      <c r="A26" s="315">
        <v>6</v>
      </c>
      <c r="B26" s="990" t="str">
        <f>Translations!$B$1256</f>
        <v>Information about the Swiss ETS can be obtained from the following address:</v>
      </c>
      <c r="C26" s="960"/>
      <c r="D26" s="960"/>
      <c r="E26" s="960"/>
      <c r="F26" s="960"/>
      <c r="G26" s="960"/>
      <c r="H26" s="960"/>
      <c r="I26" s="960"/>
      <c r="J26" s="960"/>
      <c r="K26" s="960"/>
      <c r="L26" s="960"/>
    </row>
    <row r="27" spans="1:15" ht="12.75" customHeight="1" x14ac:dyDescent="0.25">
      <c r="A27" s="315"/>
      <c r="B27" s="997" t="str">
        <f>HYPERLINK(Translations!$B$1398,Translations!$B$1398)</f>
        <v>https://www.bafu.admin.ch/bafu/en/home/topics/climate/info-specialists/reduction-measures/ets/aviation.html</v>
      </c>
      <c r="C27" s="998"/>
      <c r="D27" s="998"/>
      <c r="E27" s="998"/>
      <c r="F27" s="998"/>
      <c r="G27" s="998"/>
      <c r="H27" s="998"/>
      <c r="I27" s="998"/>
      <c r="J27" s="998"/>
      <c r="K27" s="998"/>
      <c r="L27" s="998"/>
      <c r="N27" s="908" t="s">
        <v>1919</v>
      </c>
      <c r="O27" s="303" t="s">
        <v>2049</v>
      </c>
    </row>
    <row r="28" spans="1:15" ht="13.35" customHeight="1" x14ac:dyDescent="0.25">
      <c r="A28" s="315"/>
      <c r="B28" s="996"/>
      <c r="C28" s="991"/>
      <c r="D28" s="991"/>
      <c r="E28" s="991"/>
      <c r="F28" s="991"/>
      <c r="G28" s="991"/>
      <c r="H28" s="991"/>
      <c r="I28" s="991"/>
      <c r="J28" s="991"/>
      <c r="K28" s="991"/>
      <c r="L28" s="991"/>
    </row>
    <row r="29" spans="1:15" ht="13.35" customHeight="1" x14ac:dyDescent="0.25">
      <c r="A29" s="315">
        <v>7</v>
      </c>
      <c r="B29" s="1015" t="str">
        <f>Translations!$B1299</f>
        <v>Brexit and the UK ETS</v>
      </c>
      <c r="C29" s="960"/>
      <c r="D29" s="960"/>
      <c r="E29" s="960"/>
      <c r="F29" s="960"/>
      <c r="G29" s="960"/>
      <c r="H29" s="960"/>
      <c r="I29" s="960"/>
      <c r="J29" s="960"/>
      <c r="K29" s="960"/>
      <c r="L29" s="960"/>
    </row>
    <row r="30" spans="1:15" ht="38.85" customHeight="1" x14ac:dyDescent="0.25">
      <c r="A30" s="315"/>
      <c r="B30" s="990" t="str">
        <f>Translations!$B1300</f>
        <v>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v>
      </c>
      <c r="C30" s="991"/>
      <c r="D30" s="991"/>
      <c r="E30" s="991"/>
      <c r="F30" s="991"/>
      <c r="G30" s="991"/>
      <c r="H30" s="991"/>
      <c r="I30" s="991"/>
      <c r="J30" s="991"/>
      <c r="K30" s="991"/>
      <c r="L30" s="991"/>
    </row>
    <row r="31" spans="1:15" ht="13.35" customHeight="1" x14ac:dyDescent="0.25">
      <c r="A31" s="315"/>
      <c r="B31" s="990" t="str">
        <f>Translations!$B1301</f>
        <v>Flights from the EEA to the UK are included in the EU ETS. Flights from the UK to the EEA and domestic flights in the UK are included in the UK ETS.</v>
      </c>
      <c r="C31" s="991"/>
      <c r="D31" s="991"/>
      <c r="E31" s="991"/>
      <c r="F31" s="991"/>
      <c r="G31" s="991"/>
      <c r="H31" s="991"/>
      <c r="I31" s="991"/>
      <c r="J31" s="991"/>
      <c r="K31" s="991"/>
      <c r="L31" s="991"/>
    </row>
    <row r="32" spans="1:15" ht="13.35" customHeight="1" x14ac:dyDescent="0.25">
      <c r="A32" s="315"/>
      <c r="B32" s="990" t="str">
        <f>Translations!$B1302</f>
        <v>The Trade and Cooperation Agreement between the EU and the UK can be downloaded here:</v>
      </c>
      <c r="C32" s="991"/>
      <c r="D32" s="991"/>
      <c r="E32" s="991"/>
      <c r="F32" s="991"/>
      <c r="G32" s="991"/>
      <c r="H32" s="991"/>
      <c r="I32" s="991"/>
      <c r="J32" s="991"/>
      <c r="K32" s="991"/>
      <c r="L32" s="991"/>
    </row>
    <row r="33" spans="1:14" ht="13.35" customHeight="1" x14ac:dyDescent="0.25">
      <c r="A33" s="315"/>
      <c r="B33" s="997" t="str">
        <f>HYPERLINK(Translations!$B1303,Translations!$B1303)</f>
        <v>https://ec.europa.eu/info/strategy/relations-non-eu-countries/relations-united-kingdom/eu-uk-trade-and-cooperation-agreement_en</v>
      </c>
      <c r="C33" s="998"/>
      <c r="D33" s="998"/>
      <c r="E33" s="998"/>
      <c r="F33" s="998"/>
      <c r="G33" s="998"/>
      <c r="H33" s="998"/>
      <c r="I33" s="998"/>
      <c r="J33" s="998"/>
      <c r="K33" s="998"/>
      <c r="L33" s="998"/>
    </row>
    <row r="34" spans="1:14" ht="13.35" customHeight="1" x14ac:dyDescent="0.25">
      <c r="A34" s="315">
        <v>8</v>
      </c>
      <c r="B34" s="990" t="str">
        <f>Translations!$B1304</f>
        <v>Information about the UK ETS can be obtained from the following address:</v>
      </c>
      <c r="C34" s="991"/>
      <c r="D34" s="991"/>
      <c r="E34" s="991"/>
      <c r="F34" s="991"/>
      <c r="G34" s="991"/>
      <c r="H34" s="991"/>
      <c r="I34" s="991"/>
      <c r="J34" s="991"/>
      <c r="K34" s="991"/>
      <c r="L34" s="991"/>
    </row>
    <row r="35" spans="1:14" ht="13.35" customHeight="1" x14ac:dyDescent="0.25">
      <c r="A35" s="315"/>
      <c r="B35" s="997" t="str">
        <f>HYPERLINK(Translations!$B1305,Translations!$B1305)</f>
        <v>https://www.gov.uk/guidance/complying-with-the-uk-ets-as-an-aircraft-operator</v>
      </c>
      <c r="C35" s="998"/>
      <c r="D35" s="998"/>
      <c r="E35" s="998"/>
      <c r="F35" s="998"/>
      <c r="G35" s="998"/>
      <c r="H35" s="998"/>
      <c r="I35" s="998"/>
      <c r="J35" s="998"/>
      <c r="K35" s="998"/>
      <c r="L35" s="998"/>
    </row>
    <row r="36" spans="1:14" ht="13.35" customHeight="1" x14ac:dyDescent="0.25">
      <c r="A36" s="315"/>
      <c r="B36" s="996"/>
      <c r="C36" s="960"/>
      <c r="D36" s="960"/>
      <c r="E36" s="960"/>
      <c r="F36" s="960"/>
      <c r="G36" s="960"/>
      <c r="H36" s="960"/>
      <c r="I36" s="960"/>
      <c r="J36" s="960"/>
      <c r="K36" s="960"/>
      <c r="L36" s="960"/>
    </row>
    <row r="37" spans="1:14" ht="13.35" customHeight="1" x14ac:dyDescent="0.25">
      <c r="A37" s="315" t="s">
        <v>26</v>
      </c>
      <c r="B37" s="999" t="str">
        <f>Translations!$B$1062</f>
        <v>Information on CORSIA</v>
      </c>
      <c r="C37" s="1000"/>
      <c r="D37" s="1000"/>
      <c r="E37" s="1000"/>
      <c r="F37" s="1000"/>
      <c r="G37" s="1000"/>
      <c r="H37" s="1000"/>
      <c r="I37" s="1000"/>
      <c r="J37" s="1000"/>
      <c r="K37" s="1000"/>
      <c r="L37" s="1000"/>
    </row>
    <row r="38" spans="1:14" ht="39.6" customHeight="1" x14ac:dyDescent="0.25">
      <c r="A38" s="315">
        <v>1</v>
      </c>
      <c r="B38" s="996" t="s">
        <v>1933</v>
      </c>
      <c r="C38" s="991"/>
      <c r="D38" s="991"/>
      <c r="E38" s="991"/>
      <c r="F38" s="991"/>
      <c r="G38" s="991"/>
      <c r="H38" s="991"/>
      <c r="I38" s="991"/>
      <c r="J38" s="991"/>
      <c r="K38" s="991"/>
      <c r="L38" s="991"/>
      <c r="N38" s="908" t="s">
        <v>1934</v>
      </c>
    </row>
    <row r="39" spans="1:14" ht="13.2" customHeight="1" x14ac:dyDescent="0.25">
      <c r="A39" s="315">
        <v>2</v>
      </c>
      <c r="B39" s="996" t="s">
        <v>1935</v>
      </c>
      <c r="C39" s="991"/>
      <c r="D39" s="991"/>
      <c r="E39" s="991"/>
      <c r="F39" s="991"/>
      <c r="G39" s="991"/>
      <c r="H39" s="991"/>
      <c r="I39" s="991"/>
      <c r="J39" s="991"/>
      <c r="K39" s="991"/>
      <c r="L39" s="991"/>
      <c r="N39" s="908" t="s">
        <v>11</v>
      </c>
    </row>
    <row r="40" spans="1:14" ht="26.4" customHeight="1" x14ac:dyDescent="0.25">
      <c r="A40" s="315"/>
      <c r="B40" s="836" t="s">
        <v>1975</v>
      </c>
      <c r="C40" s="991" t="s">
        <v>1937</v>
      </c>
      <c r="D40" s="960"/>
      <c r="E40" s="960"/>
      <c r="F40" s="960"/>
      <c r="G40" s="960"/>
      <c r="H40" s="960"/>
      <c r="I40" s="960"/>
      <c r="J40" s="960"/>
      <c r="K40" s="960"/>
      <c r="L40" s="960"/>
      <c r="N40" s="908" t="s">
        <v>11</v>
      </c>
    </row>
    <row r="41" spans="1:14" ht="13.2" customHeight="1" x14ac:dyDescent="0.25">
      <c r="A41" s="315"/>
      <c r="B41" s="836" t="s">
        <v>1975</v>
      </c>
      <c r="C41" s="991" t="s">
        <v>1972</v>
      </c>
      <c r="D41" s="960"/>
      <c r="E41" s="960"/>
      <c r="F41" s="960"/>
      <c r="G41" s="960"/>
      <c r="H41" s="960"/>
      <c r="I41" s="960"/>
      <c r="J41" s="960"/>
      <c r="K41" s="960"/>
      <c r="L41" s="960"/>
      <c r="N41" s="908" t="s">
        <v>11</v>
      </c>
    </row>
    <row r="42" spans="1:14" ht="26.4" customHeight="1" x14ac:dyDescent="0.25">
      <c r="A42" s="315"/>
      <c r="B42" s="836"/>
      <c r="C42" s="836" t="s">
        <v>1936</v>
      </c>
      <c r="D42" s="991" t="s">
        <v>1973</v>
      </c>
      <c r="E42" s="960"/>
      <c r="F42" s="960"/>
      <c r="G42" s="960"/>
      <c r="H42" s="960"/>
      <c r="I42" s="960"/>
      <c r="J42" s="960"/>
      <c r="K42" s="960"/>
      <c r="L42" s="960"/>
      <c r="N42" s="908" t="s">
        <v>11</v>
      </c>
    </row>
    <row r="43" spans="1:14" ht="26.4" customHeight="1" x14ac:dyDescent="0.25">
      <c r="A43" s="315"/>
      <c r="B43" s="836"/>
      <c r="C43" s="836" t="s">
        <v>1936</v>
      </c>
      <c r="D43" s="991" t="s">
        <v>1974</v>
      </c>
      <c r="E43" s="960"/>
      <c r="F43" s="960"/>
      <c r="G43" s="960"/>
      <c r="H43" s="960"/>
      <c r="I43" s="960"/>
      <c r="J43" s="960"/>
      <c r="K43" s="960"/>
      <c r="L43" s="960"/>
      <c r="N43" s="908" t="s">
        <v>11</v>
      </c>
    </row>
    <row r="44" spans="1:14" ht="13.35" customHeight="1" x14ac:dyDescent="0.25">
      <c r="A44" s="315"/>
      <c r="B44" s="968" t="s">
        <v>1719</v>
      </c>
      <c r="C44" s="968"/>
      <c r="D44" s="968"/>
      <c r="E44" s="968"/>
      <c r="F44" s="968"/>
      <c r="G44" s="968"/>
      <c r="H44" s="968"/>
      <c r="I44" s="968"/>
      <c r="J44" s="968"/>
      <c r="K44" s="968"/>
      <c r="L44" s="968"/>
      <c r="N44" s="908" t="s">
        <v>1938</v>
      </c>
    </row>
    <row r="45" spans="1:14" ht="13.35" customHeight="1" x14ac:dyDescent="0.25">
      <c r="A45" s="315"/>
      <c r="B45" s="1043" t="s">
        <v>1458</v>
      </c>
      <c r="C45" s="1043"/>
      <c r="D45" s="1043"/>
      <c r="E45" s="1043"/>
      <c r="F45" s="1043"/>
      <c r="G45" s="1043"/>
      <c r="H45" s="1043"/>
      <c r="I45" s="1043"/>
      <c r="J45" s="1043"/>
      <c r="K45" s="1043"/>
      <c r="L45" s="1043"/>
    </row>
    <row r="46" spans="1:14" ht="13.35" customHeight="1" x14ac:dyDescent="0.25">
      <c r="A46" s="315"/>
      <c r="B46" s="314"/>
      <c r="C46" s="313"/>
      <c r="D46" s="313"/>
      <c r="E46" s="313"/>
      <c r="F46" s="313"/>
      <c r="G46" s="313"/>
      <c r="H46" s="313"/>
      <c r="I46" s="313"/>
      <c r="J46" s="313"/>
      <c r="K46" s="313"/>
      <c r="L46" s="313"/>
    </row>
    <row r="47" spans="1:14" ht="13.35" customHeight="1" x14ac:dyDescent="0.25">
      <c r="A47" s="315" t="s">
        <v>28</v>
      </c>
      <c r="B47" s="999" t="str">
        <f>Translations!$B$1068</f>
        <v>Scope and relevance</v>
      </c>
      <c r="C47" s="1000"/>
      <c r="D47" s="1000"/>
      <c r="E47" s="1000"/>
      <c r="F47" s="1000"/>
      <c r="G47" s="1000"/>
      <c r="H47" s="1000"/>
      <c r="I47" s="1000"/>
      <c r="J47" s="1000"/>
      <c r="K47" s="1000"/>
      <c r="L47" s="1000"/>
    </row>
    <row r="48" spans="1:14" ht="13.35" customHeight="1" x14ac:dyDescent="0.25">
      <c r="A48" s="315">
        <v>1</v>
      </c>
      <c r="B48" s="996" t="str">
        <f>Translations!$B$1333</f>
        <v>This template is the only template that should be used by aircraft operators for reporting their annual emissions, in line with the MRR and the AVR.</v>
      </c>
      <c r="C48" s="960"/>
      <c r="D48" s="960"/>
      <c r="E48" s="960"/>
      <c r="F48" s="960"/>
      <c r="G48" s="960"/>
      <c r="H48" s="960"/>
      <c r="I48" s="960"/>
      <c r="J48" s="960"/>
      <c r="K48" s="960"/>
      <c r="L48" s="960"/>
    </row>
    <row r="49" spans="1:14" ht="13.35" customHeight="1" x14ac:dyDescent="0.25">
      <c r="A49" s="315"/>
      <c r="B49" s="996" t="s">
        <v>1923</v>
      </c>
      <c r="C49" s="960"/>
      <c r="D49" s="960"/>
      <c r="E49" s="960"/>
      <c r="F49" s="960"/>
      <c r="G49" s="960"/>
      <c r="H49" s="960"/>
      <c r="I49" s="960"/>
      <c r="J49" s="960"/>
      <c r="K49" s="960"/>
      <c r="L49" s="960"/>
      <c r="N49" s="908" t="s">
        <v>11</v>
      </c>
    </row>
    <row r="50" spans="1:14" ht="53.1" customHeight="1" x14ac:dyDescent="0.25">
      <c r="A50" s="315" t="s">
        <v>29</v>
      </c>
      <c r="B50" s="996" t="s">
        <v>1920</v>
      </c>
      <c r="C50" s="960"/>
      <c r="D50" s="960"/>
      <c r="E50" s="960"/>
      <c r="F50" s="960"/>
      <c r="G50" s="960"/>
      <c r="H50" s="960"/>
      <c r="I50" s="960"/>
      <c r="J50" s="960"/>
      <c r="K50" s="960"/>
      <c r="L50" s="960"/>
      <c r="N50" s="908" t="s">
        <v>1924</v>
      </c>
    </row>
    <row r="51" spans="1:14" ht="39.6" customHeight="1" x14ac:dyDescent="0.25">
      <c r="A51" s="315">
        <v>2</v>
      </c>
      <c r="B51" s="996" t="str">
        <f>Translations!$B$1334</f>
        <v>Aircraft operators are required to comply with the EU ETS if they carry out aviation activities as included in Annex I to the EU ETS Directive. However, until December 2026, pending a review by EU legislators, the so-called "reduced scope" is applicable. Furthermore the following aircraft operators are excluded:</v>
      </c>
      <c r="C51" s="960"/>
      <c r="D51" s="960"/>
      <c r="E51" s="960"/>
      <c r="F51" s="960"/>
      <c r="G51" s="960"/>
      <c r="H51" s="960"/>
      <c r="I51" s="960"/>
      <c r="J51" s="960"/>
      <c r="K51" s="960"/>
      <c r="L51" s="960"/>
    </row>
    <row r="52" spans="1:14" ht="26.4" customHeight="1" x14ac:dyDescent="0.25">
      <c r="A52" s="315"/>
      <c r="B52" s="317" t="s">
        <v>30</v>
      </c>
      <c r="C52" s="996" t="str">
        <f>Translations!$B$1335</f>
        <v>Commercial air transport operators, operating either fewer than 243 flights per period for three consecutive four-month periods, or operating flights with total annual emissions lower than 10 000 tonnes per year under the "extended full scope".</v>
      </c>
      <c r="D52" s="996"/>
      <c r="E52" s="996"/>
      <c r="F52" s="996"/>
      <c r="G52" s="996"/>
      <c r="H52" s="996"/>
      <c r="I52" s="996"/>
      <c r="J52" s="996"/>
      <c r="K52" s="996"/>
      <c r="L52" s="996"/>
    </row>
    <row r="53" spans="1:14" ht="13.35" customHeight="1" x14ac:dyDescent="0.25">
      <c r="A53" s="315"/>
      <c r="B53" s="317" t="s">
        <v>30</v>
      </c>
      <c r="C53" s="996" t="str">
        <f>Translations!$B$1336</f>
        <v>Non-commercial air transport operators which emit less than 1 000 t CO2 per year under the "extended full scope" of the EU ETS.</v>
      </c>
      <c r="D53" s="960"/>
      <c r="E53" s="960"/>
      <c r="F53" s="960"/>
      <c r="G53" s="960"/>
      <c r="H53" s="960"/>
      <c r="I53" s="960"/>
      <c r="J53" s="960"/>
      <c r="K53" s="960"/>
      <c r="L53" s="960"/>
    </row>
    <row r="54" spans="1:14" ht="26.4" customHeight="1" x14ac:dyDescent="0.25">
      <c r="A54" s="315"/>
      <c r="B54" s="996" t="str">
        <f>Translations!$B$1315</f>
        <v>Note that for the purposes of the EU ETS, the threshold applies to the sum of all flights within EEA, outgoing from EEA and incoming to EEA, including those incoming from Switzerland and the UK.</v>
      </c>
      <c r="C54" s="996"/>
      <c r="D54" s="996"/>
      <c r="E54" s="996"/>
      <c r="F54" s="996"/>
      <c r="G54" s="996"/>
      <c r="H54" s="996"/>
      <c r="I54" s="996"/>
      <c r="J54" s="996"/>
      <c r="K54" s="996"/>
      <c r="L54" s="996"/>
    </row>
    <row r="55" spans="1:14" ht="26.4" customHeight="1" x14ac:dyDescent="0.25">
      <c r="A55" s="315"/>
      <c r="B55" s="996" t="s">
        <v>1921</v>
      </c>
      <c r="C55" s="996"/>
      <c r="D55" s="996"/>
      <c r="E55" s="996"/>
      <c r="F55" s="996"/>
      <c r="G55" s="996"/>
      <c r="H55" s="996"/>
      <c r="I55" s="996"/>
      <c r="J55" s="996"/>
      <c r="K55" s="996"/>
      <c r="L55" s="996"/>
      <c r="N55" s="908" t="s">
        <v>11</v>
      </c>
    </row>
    <row r="56" spans="1:14" ht="12.75" customHeight="1" x14ac:dyDescent="0.25">
      <c r="A56" s="826" t="s">
        <v>31</v>
      </c>
      <c r="B56" s="1028" t="str">
        <f>Translations!$B$1337</f>
        <v xml:space="preserve">Scope changes from 2023: </v>
      </c>
      <c r="C56" s="1029"/>
      <c r="D56" s="1029"/>
      <c r="E56" s="1029"/>
      <c r="F56" s="1029"/>
      <c r="G56" s="1029"/>
      <c r="H56" s="1029"/>
      <c r="I56" s="1029"/>
      <c r="J56" s="1029"/>
      <c r="K56" s="1029"/>
      <c r="L56" s="1029"/>
    </row>
    <row r="57" spans="1:14" ht="12.75" customHeight="1" x14ac:dyDescent="0.25">
      <c r="A57" s="826"/>
      <c r="B57" s="827" t="s">
        <v>30</v>
      </c>
      <c r="C57" s="1013" t="str">
        <f>Translations!$B$1338</f>
        <v>From 2023, flights from Switzerland to the UK are included in the CH ETS. Section 8b of this template has been updated accordingly.</v>
      </c>
      <c r="D57" s="1014"/>
      <c r="E57" s="1014"/>
      <c r="F57" s="1014"/>
      <c r="G57" s="1014"/>
      <c r="H57" s="1014"/>
      <c r="I57" s="1014"/>
      <c r="J57" s="1014"/>
      <c r="K57" s="1014"/>
      <c r="L57" s="1014"/>
      <c r="N57" s="908" t="s">
        <v>1912</v>
      </c>
    </row>
    <row r="58" spans="1:14" ht="12.75" customHeight="1" x14ac:dyDescent="0.25">
      <c r="A58" s="315" t="s">
        <v>31</v>
      </c>
      <c r="B58" s="999" t="str">
        <f>Translations!$B$1339</f>
        <v xml:space="preserve">Scope changes from 2024: </v>
      </c>
      <c r="C58" s="1000"/>
      <c r="D58" s="1000"/>
      <c r="E58" s="1000"/>
      <c r="F58" s="1000"/>
      <c r="G58" s="1000"/>
      <c r="H58" s="1000"/>
      <c r="I58" s="1000"/>
      <c r="J58" s="1000"/>
      <c r="K58" s="1000"/>
      <c r="L58" s="1000"/>
    </row>
    <row r="59" spans="1:14" ht="39.6" customHeight="1" x14ac:dyDescent="0.25">
      <c r="A59" s="315"/>
      <c r="B59" s="827" t="s">
        <v>30</v>
      </c>
      <c r="C59" s="1013" t="str">
        <f>Translations!$B$1340</f>
        <v>From 2024, the scope of the EU ETS is changed as given below. Free allocation for the years 2024 and 2025 will be based on 2023 verified emissions from flights covered by the EU ETS geographical scope from 1 January 2024. Emissions from the additional flights in the year 2023 need to be reported by aircraft operators to allow for the calculation of the free allocation.</v>
      </c>
      <c r="D59" s="1014"/>
      <c r="E59" s="1014"/>
      <c r="F59" s="1014"/>
      <c r="G59" s="1014"/>
      <c r="H59" s="1014"/>
      <c r="I59" s="1014"/>
      <c r="J59" s="1014"/>
      <c r="K59" s="1014"/>
      <c r="L59" s="1014"/>
      <c r="N59" s="908" t="s">
        <v>1912</v>
      </c>
    </row>
    <row r="60" spans="1:14" ht="26.4" customHeight="1" x14ac:dyDescent="0.25">
      <c r="A60" s="315"/>
      <c r="B60" s="827" t="s">
        <v>30</v>
      </c>
      <c r="C60" s="1041" t="str">
        <f>Translations!$B$1341</f>
        <v>This reporting is voluntary. In case the additional flights are not reported by the aircarft operator the Commission will seek the assistance of Eurocontrol in determining the total emissions. (see section 11a)</v>
      </c>
      <c r="D60" s="1042"/>
      <c r="E60" s="1042"/>
      <c r="F60" s="1042"/>
      <c r="G60" s="1042"/>
      <c r="H60" s="1042"/>
      <c r="I60" s="1042"/>
      <c r="J60" s="1042"/>
      <c r="K60" s="1042"/>
      <c r="L60" s="1042"/>
      <c r="N60" s="908" t="s">
        <v>1912</v>
      </c>
    </row>
    <row r="61" spans="1:14" ht="26.4" customHeight="1" x14ac:dyDescent="0.25">
      <c r="A61" s="315"/>
      <c r="B61" s="317" t="s">
        <v>30</v>
      </c>
      <c r="C61" s="996" t="s">
        <v>1908</v>
      </c>
      <c r="D61" s="991"/>
      <c r="E61" s="991"/>
      <c r="F61" s="991"/>
      <c r="G61" s="991"/>
      <c r="H61" s="991"/>
      <c r="I61" s="991"/>
      <c r="J61" s="991"/>
      <c r="K61" s="991"/>
      <c r="L61" s="991"/>
      <c r="N61" s="908" t="s">
        <v>13</v>
      </c>
    </row>
    <row r="62" spans="1:14" ht="51.9" customHeight="1" x14ac:dyDescent="0.25">
      <c r="A62" s="315"/>
      <c r="B62" s="317" t="s">
        <v>30</v>
      </c>
      <c r="C62" s="996" t="str">
        <f>Translations!$B$1343</f>
        <v>Until 2030, all flights between an aerodrome located in an outermost region of a Member State and an aerodrome located in the same Member State, including another aerodrome located in the same outermost region or in another outermost region of the same Member State will be excluded.</v>
      </c>
      <c r="D62" s="991"/>
      <c r="E62" s="991"/>
      <c r="F62" s="991"/>
      <c r="G62" s="991"/>
      <c r="H62" s="991"/>
      <c r="I62" s="991"/>
      <c r="J62" s="991"/>
      <c r="K62" s="991"/>
      <c r="L62" s="991"/>
    </row>
    <row r="63" spans="1:14" ht="26.4" customHeight="1" x14ac:dyDescent="0.25">
      <c r="A63" s="315">
        <v>3</v>
      </c>
      <c r="B63" s="996" t="str">
        <f>Translations!$B$1073</f>
        <v>Note that under the EU ETS some simplified monitoring, reporting and verification requirements apply for small emitters. This template guides you whether you are allowed to use the simplified approaches (see section (6) of this template).</v>
      </c>
      <c r="C63" s="960"/>
      <c r="D63" s="960"/>
      <c r="E63" s="960"/>
      <c r="F63" s="960"/>
      <c r="G63" s="960"/>
      <c r="H63" s="960"/>
      <c r="I63" s="960"/>
      <c r="J63" s="960"/>
      <c r="K63" s="960"/>
      <c r="L63" s="960"/>
    </row>
    <row r="64" spans="1:14" ht="26.4" customHeight="1" x14ac:dyDescent="0.25">
      <c r="A64" s="315"/>
      <c r="B64" s="996" t="str">
        <f>Translations!$B$1074</f>
        <v>For further information, in particular regarding "full" and "reduced" scope and simplified approaches, please see MRR guidance document No.2 "General guidance for Aircraft Operators", which can be downloaded under:</v>
      </c>
      <c r="C64" s="996"/>
      <c r="D64" s="996"/>
      <c r="E64" s="996"/>
      <c r="F64" s="996"/>
      <c r="G64" s="996"/>
      <c r="H64" s="996"/>
      <c r="I64" s="996"/>
      <c r="J64" s="996"/>
      <c r="K64" s="996"/>
      <c r="L64" s="996"/>
    </row>
    <row r="65" spans="1:15" ht="13.35" customHeight="1" x14ac:dyDescent="0.25">
      <c r="A65" s="315"/>
      <c r="B65" s="997" t="str">
        <f>HYPERLINK(Translations!$B$1325,Translations!$B$1325)</f>
        <v>https://climate.ec.europa.eu/system/files/2023-05/gd2_guidance_aircraft_en.pdf</v>
      </c>
      <c r="C65" s="998"/>
      <c r="D65" s="998"/>
      <c r="E65" s="998"/>
      <c r="F65" s="998"/>
      <c r="G65" s="998"/>
      <c r="H65" s="998"/>
      <c r="I65" s="998"/>
      <c r="J65" s="998"/>
      <c r="K65" s="998"/>
      <c r="L65" s="998"/>
    </row>
    <row r="66" spans="1:15" ht="66.150000000000006" customHeight="1" x14ac:dyDescent="0.25">
      <c r="A66" s="315">
        <v>4</v>
      </c>
      <c r="B66" s="996" t="s">
        <v>1928</v>
      </c>
      <c r="C66" s="996"/>
      <c r="D66" s="996"/>
      <c r="E66" s="996"/>
      <c r="F66" s="996"/>
      <c r="G66" s="996"/>
      <c r="H66" s="996"/>
      <c r="I66" s="996"/>
      <c r="J66" s="996"/>
      <c r="K66" s="996"/>
      <c r="L66" s="996"/>
      <c r="N66" s="908" t="s">
        <v>1925</v>
      </c>
    </row>
    <row r="67" spans="1:15" ht="13.35" customHeight="1" x14ac:dyDescent="0.25">
      <c r="B67" s="313"/>
      <c r="C67" s="313"/>
      <c r="D67" s="313"/>
      <c r="E67" s="313"/>
      <c r="F67" s="313"/>
      <c r="G67" s="313"/>
      <c r="H67" s="313"/>
      <c r="I67" s="313"/>
      <c r="J67" s="313"/>
      <c r="K67" s="313"/>
      <c r="L67" s="313"/>
    </row>
    <row r="68" spans="1:15" x14ac:dyDescent="0.25">
      <c r="A68" s="315" t="s">
        <v>32</v>
      </c>
      <c r="B68" s="999" t="str">
        <f>Translations!$B$1077</f>
        <v>Guidance on this template</v>
      </c>
      <c r="C68" s="1000"/>
      <c r="D68" s="1000"/>
      <c r="E68" s="1000"/>
      <c r="F68" s="1000"/>
      <c r="G68" s="1000"/>
      <c r="H68" s="1000"/>
      <c r="I68" s="1000"/>
      <c r="J68" s="1000"/>
      <c r="K68" s="1000"/>
      <c r="L68" s="1000"/>
    </row>
    <row r="69" spans="1:15" s="7" customFormat="1" ht="13.35" customHeight="1" x14ac:dyDescent="0.25">
      <c r="A69" s="315">
        <v>1</v>
      </c>
      <c r="B69" s="1004" t="str">
        <f>Translations!$B$1307</f>
        <v>Article 68(3) of the MRR requires:</v>
      </c>
      <c r="C69" s="1004"/>
      <c r="D69" s="1004"/>
      <c r="E69" s="1004"/>
      <c r="F69" s="1004"/>
      <c r="G69" s="1004"/>
      <c r="H69" s="1004"/>
      <c r="I69" s="1004"/>
      <c r="J69" s="1004"/>
      <c r="K69" s="1004"/>
      <c r="L69" s="1004"/>
      <c r="N69" s="910"/>
      <c r="O69" s="592"/>
    </row>
    <row r="70" spans="1:15" s="7" customFormat="1" ht="13.35" customHeight="1" x14ac:dyDescent="0.25">
      <c r="A70" s="315"/>
      <c r="B70" s="1006" t="s">
        <v>2046</v>
      </c>
      <c r="C70" s="1006"/>
      <c r="D70" s="1006"/>
      <c r="E70" s="1006"/>
      <c r="F70" s="1006"/>
      <c r="G70" s="1006"/>
      <c r="H70" s="1006"/>
      <c r="I70" s="1006"/>
      <c r="J70" s="1006"/>
      <c r="K70" s="1006"/>
      <c r="L70" s="1006"/>
      <c r="N70" s="910"/>
      <c r="O70" s="592" t="s">
        <v>1934</v>
      </c>
    </row>
    <row r="71" spans="1:15" s="7" customFormat="1" ht="13.35" customHeight="1" x14ac:dyDescent="0.25">
      <c r="A71" s="315"/>
      <c r="B71" s="1004" t="str">
        <f>Translations!$B$858</f>
        <v>Annex X sets out the minimum content of Annual Emissions Reports.</v>
      </c>
      <c r="C71" s="1004"/>
      <c r="D71" s="1004"/>
      <c r="E71" s="1004"/>
      <c r="F71" s="1004"/>
      <c r="G71" s="1004"/>
      <c r="H71" s="1004"/>
      <c r="I71" s="1004"/>
      <c r="J71" s="1004"/>
      <c r="K71" s="1004"/>
      <c r="L71" s="1004"/>
      <c r="N71" s="910"/>
      <c r="O71" s="592"/>
    </row>
    <row r="72" spans="1:15" s="7" customFormat="1" ht="13.35" customHeight="1" x14ac:dyDescent="0.25">
      <c r="A72" s="315"/>
      <c r="B72" s="1004" t="str">
        <f>Translations!$B$41</f>
        <v>Furthermore, Article 74(1) states:</v>
      </c>
      <c r="C72" s="1004"/>
      <c r="D72" s="1004"/>
      <c r="E72" s="1004"/>
      <c r="F72" s="1004"/>
      <c r="G72" s="1004"/>
      <c r="H72" s="1004"/>
      <c r="I72" s="1004"/>
      <c r="J72" s="1004"/>
      <c r="K72" s="1004"/>
      <c r="L72" s="1004"/>
      <c r="N72" s="910"/>
      <c r="O72" s="592"/>
    </row>
    <row r="73" spans="1:15" s="7" customFormat="1" ht="64.349999999999994" customHeight="1" x14ac:dyDescent="0.25">
      <c r="A73" s="315"/>
      <c r="B73" s="1006" t="str">
        <f>Translations!$B$1346</f>
        <v>Member States may require the operator and aircraft operator to use electronic templates or specific file formats for submission of monitoring plans and changes to the monitoring plan, as well as for submission of annual emissions reports, verification reports and improvement reports.
Those templates or file format specifications established by the Member States shall, at least, contain the information contained in electronic templates or file format specifications published by the Commission.</v>
      </c>
      <c r="C73" s="1006"/>
      <c r="D73" s="1006"/>
      <c r="E73" s="1006"/>
      <c r="F73" s="1006"/>
      <c r="G73" s="1006"/>
      <c r="H73" s="1006"/>
      <c r="I73" s="1006"/>
      <c r="J73" s="1006"/>
      <c r="K73" s="1006"/>
      <c r="L73" s="1006"/>
      <c r="N73" s="910"/>
      <c r="O73" s="592"/>
    </row>
    <row r="74" spans="1:15" s="7" customFormat="1" ht="39.6" customHeight="1" x14ac:dyDescent="0.25">
      <c r="A74" s="315">
        <v>2</v>
      </c>
      <c r="B74" s="1004" t="str">
        <f>Translations!$B$859</f>
        <v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v>
      </c>
      <c r="C74" s="1004"/>
      <c r="D74" s="1004"/>
      <c r="E74" s="1004"/>
      <c r="F74" s="1004"/>
      <c r="G74" s="1004"/>
      <c r="H74" s="1004"/>
      <c r="I74" s="1004"/>
      <c r="J74" s="1004"/>
      <c r="K74" s="1004"/>
      <c r="L74" s="1004"/>
      <c r="N74" s="910"/>
      <c r="O74" s="592"/>
    </row>
    <row r="75" spans="1:15" s="7" customFormat="1" ht="26.4" customHeight="1" x14ac:dyDescent="0.25">
      <c r="A75" s="315" t="s">
        <v>1926</v>
      </c>
      <c r="B75" s="996" t="s">
        <v>1927</v>
      </c>
      <c r="C75" s="960"/>
      <c r="D75" s="960"/>
      <c r="E75" s="960"/>
      <c r="F75" s="960"/>
      <c r="G75" s="960"/>
      <c r="H75" s="960"/>
      <c r="I75" s="960"/>
      <c r="J75" s="960"/>
      <c r="K75" s="960"/>
      <c r="L75" s="960"/>
      <c r="M75"/>
      <c r="N75" s="908" t="s">
        <v>11</v>
      </c>
      <c r="O75" s="592"/>
    </row>
    <row r="76" spans="1:15" s="7" customFormat="1" ht="13.35" customHeight="1" x14ac:dyDescent="0.25">
      <c r="A76" s="315">
        <v>3</v>
      </c>
      <c r="B76" s="996" t="str">
        <f>Translations!$B$1078</f>
        <v>According to the delegated act pursuant to Article 28c of the EU ETS Directive, this template is also to be used for CORSIA reporting.</v>
      </c>
      <c r="C76" s="991"/>
      <c r="D76" s="991"/>
      <c r="E76" s="991"/>
      <c r="F76" s="991"/>
      <c r="G76" s="991"/>
      <c r="H76" s="991"/>
      <c r="I76" s="991"/>
      <c r="J76" s="991"/>
      <c r="K76" s="991"/>
      <c r="L76" s="991"/>
      <c r="N76" s="910"/>
      <c r="O76" s="592"/>
    </row>
    <row r="77" spans="1:15" s="7" customFormat="1" ht="13.35" customHeight="1" x14ac:dyDescent="0.25">
      <c r="A77" s="315">
        <v>4</v>
      </c>
      <c r="B77" s="1004" t="str">
        <f>Translations!$B$860</f>
        <v xml:space="preserve">This reporting template represents the views of the Commission services at the time of publication. </v>
      </c>
      <c r="C77" s="1004"/>
      <c r="D77" s="1004"/>
      <c r="E77" s="1004"/>
      <c r="F77" s="1004"/>
      <c r="G77" s="1004"/>
      <c r="H77" s="1004"/>
      <c r="I77" s="1004"/>
      <c r="J77" s="1004"/>
      <c r="K77" s="1004"/>
      <c r="L77" s="1004"/>
      <c r="N77" s="910"/>
      <c r="O77" s="592"/>
    </row>
    <row r="78" spans="1:15" s="7" customFormat="1" ht="63.75" customHeight="1" x14ac:dyDescent="0.25">
      <c r="A78" s="8"/>
      <c r="B78" s="1010" t="s">
        <v>2101</v>
      </c>
      <c r="C78" s="1011"/>
      <c r="D78" s="1011"/>
      <c r="E78" s="1011"/>
      <c r="F78" s="1011"/>
      <c r="G78" s="1011"/>
      <c r="H78" s="1011"/>
      <c r="I78" s="1011"/>
      <c r="J78" s="1011"/>
      <c r="K78" s="1011"/>
      <c r="L78" s="1012"/>
      <c r="N78" s="910"/>
      <c r="O78" s="592" t="s">
        <v>2102</v>
      </c>
    </row>
    <row r="79" spans="1:15" s="7" customFormat="1" ht="12.75" customHeight="1" x14ac:dyDescent="0.25">
      <c r="A79" s="8"/>
      <c r="B79" s="1039"/>
      <c r="C79" s="1040"/>
      <c r="D79" s="1040"/>
      <c r="E79" s="1040"/>
      <c r="F79" s="1040"/>
      <c r="G79" s="1040"/>
      <c r="H79" s="1040"/>
      <c r="I79" s="1040"/>
      <c r="J79" s="1040"/>
      <c r="K79" s="1040"/>
      <c r="L79" s="1040"/>
      <c r="N79" s="910"/>
      <c r="O79" s="592"/>
    </row>
    <row r="80" spans="1:15" s="7" customFormat="1" ht="12.75" customHeight="1" x14ac:dyDescent="0.25">
      <c r="A80" s="8">
        <v>5</v>
      </c>
      <c r="B80" s="1004" t="str">
        <f>Translations!$B$44</f>
        <v>All Commission guidance documents on the Monitoring and Reporting Regulation can be found at:</v>
      </c>
      <c r="C80" s="1004"/>
      <c r="D80" s="1004"/>
      <c r="E80" s="1004"/>
      <c r="F80" s="1004"/>
      <c r="G80" s="1004"/>
      <c r="H80" s="1004"/>
      <c r="I80" s="1004"/>
      <c r="J80" s="1004"/>
      <c r="K80" s="1004"/>
      <c r="L80" s="1004"/>
      <c r="N80" s="910"/>
      <c r="O80" s="592"/>
    </row>
    <row r="81" spans="1:15" s="7" customFormat="1" ht="12.75" customHeight="1" x14ac:dyDescent="0.25">
      <c r="A81" s="8"/>
      <c r="B81" s="997" t="str">
        <f>HYPERLINK(Translations!$B$1309,Translations!$B$1309)</f>
        <v>https://ec.europa.eu/clima/eu-action/eu-emissions-trading-system-eu-ets/monitoring-reporting-and-verification-eu-ets-emissions_en</v>
      </c>
      <c r="C81" s="998"/>
      <c r="D81" s="998"/>
      <c r="E81" s="998"/>
      <c r="F81" s="998"/>
      <c r="G81" s="998"/>
      <c r="H81" s="998"/>
      <c r="I81" s="998"/>
      <c r="J81" s="998"/>
      <c r="K81" s="998"/>
      <c r="L81" s="998"/>
      <c r="N81" s="910"/>
      <c r="O81" s="592"/>
    </row>
    <row r="82" spans="1:15" s="7" customFormat="1" x14ac:dyDescent="0.25">
      <c r="A82" s="8"/>
      <c r="B82" s="318"/>
      <c r="C82" s="318"/>
      <c r="D82" s="318"/>
      <c r="E82" s="318"/>
      <c r="F82" s="318"/>
      <c r="G82" s="318"/>
      <c r="H82" s="318"/>
      <c r="I82" s="318"/>
      <c r="J82" s="318"/>
      <c r="K82" s="318"/>
      <c r="L82" s="318"/>
      <c r="N82" s="910"/>
      <c r="O82" s="592"/>
    </row>
    <row r="83" spans="1:15" ht="39.6" customHeight="1" x14ac:dyDescent="0.25">
      <c r="A83" s="8">
        <v>6</v>
      </c>
      <c r="B83" s="991" t="str">
        <f>Translations!$B$1348</f>
        <v xml:space="preserve">The EU ETS for aviation has been expanded to cover the three EEA EFTA States Iceland, Liechtenstein and Norway. This means that aircraft operators also need to monitor and report their emissions from domestic flights within the EEA EFTA States, flights between the EEA EFTA States and flights between EEA EFTA States and third countries (where full scope is required).
</v>
      </c>
      <c r="C83" s="960"/>
      <c r="D83" s="960"/>
      <c r="E83" s="960"/>
      <c r="F83" s="960"/>
      <c r="G83" s="960"/>
      <c r="H83" s="960"/>
      <c r="I83" s="960"/>
      <c r="J83" s="960"/>
      <c r="K83" s="960"/>
      <c r="L83" s="960"/>
      <c r="M83" s="7"/>
    </row>
    <row r="84" spans="1:15" ht="26.4" customHeight="1" x14ac:dyDescent="0.25">
      <c r="A84" s="8"/>
      <c r="B84" s="1000" t="str">
        <f>Translations!$B$1310</f>
        <v>Accordingly, all references to Member States in this template should be interpreted as including all 30 EEA States. The EEA comprises the 27 EU Member States, Iceland, Liechtenstein and Norway.</v>
      </c>
      <c r="C84" s="1000"/>
      <c r="D84" s="1000"/>
      <c r="E84" s="1000"/>
      <c r="F84" s="1000"/>
      <c r="G84" s="1000"/>
      <c r="H84" s="1000"/>
      <c r="I84" s="1000"/>
      <c r="J84" s="1000"/>
      <c r="K84" s="1000"/>
      <c r="L84" s="1000"/>
    </row>
    <row r="85" spans="1:15" s="7" customFormat="1" x14ac:dyDescent="0.25">
      <c r="A85" s="8"/>
      <c r="B85" s="318"/>
      <c r="C85" s="318"/>
      <c r="D85" s="318"/>
      <c r="E85" s="318"/>
      <c r="F85" s="318"/>
      <c r="G85" s="318"/>
      <c r="H85" s="318"/>
      <c r="I85" s="318"/>
      <c r="J85" s="318"/>
      <c r="K85" s="318"/>
      <c r="L85" s="318"/>
      <c r="N85" s="910"/>
      <c r="O85" s="592"/>
    </row>
    <row r="86" spans="1:15" s="12" customFormat="1" ht="15.6" x14ac:dyDescent="0.25">
      <c r="A86" s="8">
        <v>7</v>
      </c>
      <c r="B86" s="1009" t="str">
        <f>Translations!$B$48</f>
        <v>Before you use this file, please carry out the following steps:</v>
      </c>
      <c r="C86" s="1009"/>
      <c r="D86" s="1009"/>
      <c r="E86" s="1009"/>
      <c r="F86" s="1009"/>
      <c r="G86" s="1009"/>
      <c r="H86" s="1009"/>
      <c r="I86" s="1009"/>
      <c r="J86" s="1009"/>
      <c r="K86" s="1009"/>
      <c r="L86" s="1009"/>
      <c r="N86" s="911"/>
      <c r="O86" s="912"/>
    </row>
    <row r="87" spans="1:15" ht="51" customHeight="1" x14ac:dyDescent="0.25">
      <c r="A87" s="8"/>
      <c r="B87" s="319" t="s">
        <v>33</v>
      </c>
      <c r="C87" s="999" t="str">
        <f>Translations!$B$1082</f>
        <v>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v>
      </c>
      <c r="D87" s="996"/>
      <c r="E87" s="996"/>
      <c r="F87" s="996"/>
      <c r="G87" s="996"/>
      <c r="H87" s="996"/>
      <c r="I87" s="996"/>
      <c r="J87" s="996"/>
      <c r="K87" s="996"/>
      <c r="L87" s="996"/>
    </row>
    <row r="88" spans="1:15" ht="30" customHeight="1" x14ac:dyDescent="0.25">
      <c r="A88" s="315"/>
      <c r="B88" s="323"/>
      <c r="C88" s="1000" t="str">
        <f>Translations!$B$1083</f>
        <v>If you are not on this list, you may still be subject to EU ETS or CORSIA reporting to a Member State based on the criteria referred to under point III(4) above.</v>
      </c>
      <c r="D88" s="960"/>
      <c r="E88" s="960"/>
      <c r="F88" s="960"/>
      <c r="G88" s="960"/>
      <c r="H88" s="960"/>
      <c r="I88" s="960"/>
      <c r="J88" s="960"/>
      <c r="K88" s="960"/>
      <c r="L88" s="960"/>
      <c r="M88" s="11"/>
    </row>
    <row r="89" spans="1:15" ht="53.1" customHeight="1" x14ac:dyDescent="0.25">
      <c r="A89" s="315"/>
      <c r="B89" s="323"/>
      <c r="C89" s="1000" t="str">
        <f>Translations!$B$1084</f>
        <v>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v>
      </c>
      <c r="D89" s="960"/>
      <c r="E89" s="960"/>
      <c r="F89" s="960"/>
      <c r="G89" s="960"/>
      <c r="H89" s="960"/>
      <c r="I89" s="960"/>
      <c r="J89" s="960"/>
      <c r="K89" s="960"/>
      <c r="L89" s="960"/>
      <c r="M89" s="11"/>
    </row>
    <row r="90" spans="1:15" ht="29.25" customHeight="1" x14ac:dyDescent="0.25">
      <c r="A90" s="8"/>
      <c r="B90" s="319" t="s">
        <v>34</v>
      </c>
      <c r="C90" s="996" t="str">
        <f>Translations!$B$50</f>
        <v xml:space="preserve">Identify the Competent Authority (CA) responsible for your case in that administering Member State (there may be more than one CA per Member State). </v>
      </c>
      <c r="D90" s="996"/>
      <c r="E90" s="996"/>
      <c r="F90" s="996"/>
      <c r="G90" s="996"/>
      <c r="H90" s="996"/>
      <c r="I90" s="996"/>
      <c r="J90" s="996"/>
      <c r="K90" s="996"/>
      <c r="L90" s="996"/>
    </row>
    <row r="91" spans="1:15" ht="30.75" customHeight="1" x14ac:dyDescent="0.25">
      <c r="A91" s="8"/>
      <c r="B91" s="319" t="s">
        <v>35</v>
      </c>
      <c r="C91" s="996" t="str">
        <f>Translations!$B$51</f>
        <v>Check the CA's webpage or directly contact the CA in order to find out if you have the correct version of the template. The template version is clearly indicated on the cover page of this file.</v>
      </c>
      <c r="D91" s="996"/>
      <c r="E91" s="996"/>
      <c r="F91" s="996"/>
      <c r="G91" s="996"/>
      <c r="H91" s="996"/>
      <c r="I91" s="996"/>
      <c r="J91" s="996"/>
      <c r="K91" s="996"/>
      <c r="L91" s="996"/>
    </row>
    <row r="92" spans="1:15" ht="29.25" customHeight="1" x14ac:dyDescent="0.25">
      <c r="A92" s="8"/>
      <c r="B92" s="319" t="s">
        <v>36</v>
      </c>
      <c r="C92" s="996" t="str">
        <f>Translations!$B$52</f>
        <v>Some Member States may require you to use an alternative system, such as Internet-based forms instead of a spreadsheet. Check your administering Member State requirements. In this case the CA will provide further information to you.</v>
      </c>
      <c r="D92" s="996"/>
      <c r="E92" s="996"/>
      <c r="F92" s="996"/>
      <c r="G92" s="996"/>
      <c r="H92" s="996"/>
      <c r="I92" s="996"/>
      <c r="J92" s="996"/>
      <c r="K92" s="996"/>
      <c r="L92" s="996"/>
    </row>
    <row r="93" spans="1:15" s="7" customFormat="1" x14ac:dyDescent="0.25">
      <c r="A93" s="8"/>
      <c r="B93" s="319" t="s">
        <v>37</v>
      </c>
      <c r="C93" s="1004" t="str">
        <f>Translations!$B$53</f>
        <v>Read carefully the instructions below for filling this template.</v>
      </c>
      <c r="D93" s="1004"/>
      <c r="E93" s="1004"/>
      <c r="F93" s="1004"/>
      <c r="G93" s="1004"/>
      <c r="H93" s="1004"/>
      <c r="I93" s="1004"/>
      <c r="J93" s="1004"/>
      <c r="K93" s="1004"/>
      <c r="L93" s="1004"/>
      <c r="N93" s="910"/>
      <c r="O93" s="592"/>
    </row>
    <row r="94" spans="1:15" x14ac:dyDescent="0.25">
      <c r="A94" s="8"/>
      <c r="B94" s="996"/>
      <c r="C94" s="996"/>
      <c r="D94" s="996"/>
      <c r="E94" s="996"/>
      <c r="F94" s="996"/>
      <c r="G94" s="996"/>
      <c r="H94" s="996"/>
      <c r="I94" s="996"/>
      <c r="J94" s="996"/>
      <c r="K94" s="996"/>
      <c r="L94" s="996"/>
    </row>
    <row r="95" spans="1:15" ht="15" customHeight="1" x14ac:dyDescent="0.25">
      <c r="A95" s="8">
        <f>A86+1</f>
        <v>8</v>
      </c>
      <c r="B95" s="1001" t="str">
        <f>Translations!$B$867</f>
        <v>This emission report must be submitted to your Competent Authority ("CA") to the following address:</v>
      </c>
      <c r="C95" s="1001"/>
      <c r="D95" s="1001"/>
      <c r="E95" s="1001"/>
      <c r="F95" s="1001"/>
      <c r="G95" s="1001"/>
      <c r="H95" s="1001"/>
      <c r="I95" s="1001"/>
      <c r="J95" s="1001"/>
      <c r="K95" s="1001"/>
      <c r="L95" s="1001"/>
    </row>
    <row r="96" spans="1:15" x14ac:dyDescent="0.25">
      <c r="A96" s="8"/>
      <c r="B96" s="7"/>
      <c r="C96" s="7"/>
      <c r="D96" s="7"/>
      <c r="E96" s="7"/>
      <c r="F96" s="7"/>
      <c r="G96" s="7"/>
      <c r="H96" s="7"/>
      <c r="I96" s="7"/>
      <c r="J96" s="7"/>
      <c r="K96" s="7"/>
      <c r="L96" s="7"/>
    </row>
    <row r="97" spans="1:15" x14ac:dyDescent="0.25">
      <c r="B97" s="20"/>
      <c r="C97" s="20"/>
      <c r="D97" s="20"/>
      <c r="E97" s="1030" t="str">
        <f>Translations!$B$55</f>
        <v>Detail address to be provided by the Member State</v>
      </c>
      <c r="F97" s="1031"/>
      <c r="G97" s="1031"/>
      <c r="H97" s="1032"/>
      <c r="I97" s="20"/>
      <c r="J97" s="20"/>
      <c r="K97" s="20"/>
      <c r="L97" s="20"/>
    </row>
    <row r="98" spans="1:15" x14ac:dyDescent="0.25">
      <c r="B98" s="20"/>
      <c r="C98" s="20"/>
      <c r="D98" s="20"/>
      <c r="E98" s="1033"/>
      <c r="F98" s="1034"/>
      <c r="G98" s="1034"/>
      <c r="H98" s="1035"/>
      <c r="I98" s="20"/>
      <c r="J98" s="20"/>
      <c r="K98" s="20"/>
      <c r="L98" s="20"/>
    </row>
    <row r="99" spans="1:15" x14ac:dyDescent="0.25">
      <c r="B99" s="20"/>
      <c r="C99" s="20"/>
      <c r="D99" s="20"/>
      <c r="E99" s="1033"/>
      <c r="F99" s="1034"/>
      <c r="G99" s="1034"/>
      <c r="H99" s="1035"/>
      <c r="I99" s="20"/>
      <c r="J99" s="20"/>
      <c r="K99" s="20"/>
      <c r="L99" s="20"/>
    </row>
    <row r="100" spans="1:15" x14ac:dyDescent="0.25">
      <c r="B100" s="20"/>
      <c r="C100" s="10"/>
      <c r="D100" s="20"/>
      <c r="E100" s="1033"/>
      <c r="F100" s="1034"/>
      <c r="G100" s="1034"/>
      <c r="H100" s="1035"/>
      <c r="I100" s="20"/>
      <c r="J100" s="20"/>
      <c r="K100" s="20"/>
      <c r="L100" s="20"/>
    </row>
    <row r="101" spans="1:15" x14ac:dyDescent="0.25">
      <c r="B101" s="20"/>
      <c r="C101" s="20"/>
      <c r="D101" s="20"/>
      <c r="E101" s="1033"/>
      <c r="F101" s="1034"/>
      <c r="G101" s="1034"/>
      <c r="H101" s="1035"/>
      <c r="I101" s="20"/>
      <c r="J101" s="20"/>
      <c r="K101" s="20"/>
      <c r="L101" s="20"/>
    </row>
    <row r="102" spans="1:15" x14ac:dyDescent="0.25">
      <c r="B102" s="20"/>
      <c r="C102" s="20"/>
      <c r="D102" s="20"/>
      <c r="E102" s="1033"/>
      <c r="F102" s="1034"/>
      <c r="G102" s="1034"/>
      <c r="H102" s="1035"/>
      <c r="I102" s="20"/>
      <c r="J102" s="20"/>
      <c r="K102" s="20"/>
      <c r="L102" s="20"/>
    </row>
    <row r="103" spans="1:15" x14ac:dyDescent="0.25">
      <c r="B103" s="20"/>
      <c r="C103" s="20"/>
      <c r="D103" s="20"/>
      <c r="E103" s="1033"/>
      <c r="F103" s="1034"/>
      <c r="G103" s="1034"/>
      <c r="H103" s="1035"/>
      <c r="I103" s="20"/>
      <c r="J103" s="20"/>
      <c r="K103" s="20"/>
      <c r="L103" s="20"/>
    </row>
    <row r="104" spans="1:15" x14ac:dyDescent="0.25">
      <c r="B104" s="20"/>
      <c r="C104" s="20"/>
      <c r="D104" s="20"/>
      <c r="E104" s="1036"/>
      <c r="F104" s="1037"/>
      <c r="G104" s="1037"/>
      <c r="H104" s="1038"/>
      <c r="I104" s="20"/>
      <c r="J104" s="20"/>
      <c r="K104" s="20"/>
      <c r="L104" s="20"/>
    </row>
    <row r="105" spans="1:15" x14ac:dyDescent="0.25">
      <c r="B105" s="20"/>
      <c r="C105" s="20"/>
      <c r="D105" s="20"/>
      <c r="E105" s="20"/>
      <c r="F105" s="20"/>
      <c r="G105" s="20"/>
      <c r="H105" s="20"/>
      <c r="I105" s="20"/>
      <c r="J105" s="20"/>
      <c r="K105" s="20"/>
      <c r="L105" s="20"/>
    </row>
    <row r="106" spans="1:15" ht="33" customHeight="1" x14ac:dyDescent="0.25">
      <c r="A106" s="8">
        <f>A95+1</f>
        <v>9</v>
      </c>
      <c r="B106" s="996" t="str">
        <f>Translations!$B$868</f>
        <v>Contact your Competent Authority if you need assistance to complete your Annual Emissions Report. Some Member States have produced guidance documents which you may find useful in addition to the Commission's guidance mentioned above.</v>
      </c>
      <c r="C106" s="996"/>
      <c r="D106" s="996"/>
      <c r="E106" s="996"/>
      <c r="F106" s="996"/>
      <c r="G106" s="996"/>
      <c r="H106" s="996"/>
      <c r="I106" s="996"/>
      <c r="J106" s="996"/>
      <c r="K106" s="996"/>
      <c r="L106" s="996"/>
    </row>
    <row r="107" spans="1:15" ht="66" customHeight="1" x14ac:dyDescent="0.25">
      <c r="A107" s="8">
        <f>A106+1</f>
        <v>10</v>
      </c>
      <c r="B107" s="963" t="str">
        <f>Translations!$B$869</f>
        <v>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v>
      </c>
      <c r="C107" s="971"/>
      <c r="D107" s="971"/>
      <c r="E107" s="971"/>
      <c r="F107" s="971"/>
      <c r="G107" s="971"/>
      <c r="H107" s="971"/>
      <c r="I107" s="971"/>
      <c r="J107" s="971"/>
      <c r="K107" s="971"/>
      <c r="L107" s="971"/>
    </row>
    <row r="108" spans="1:15" x14ac:dyDescent="0.25">
      <c r="A108" s="8"/>
      <c r="B108" s="318"/>
      <c r="C108" s="318"/>
      <c r="D108" s="318"/>
      <c r="E108" s="318"/>
      <c r="F108" s="318"/>
      <c r="G108" s="318"/>
      <c r="H108" s="318"/>
      <c r="I108" s="318"/>
      <c r="J108" s="318"/>
      <c r="K108" s="318"/>
      <c r="L108" s="318"/>
    </row>
    <row r="109" spans="1:15" ht="15.6" x14ac:dyDescent="0.25">
      <c r="A109" s="8">
        <f>A107+1</f>
        <v>11</v>
      </c>
      <c r="B109" s="1020" t="str">
        <f>Translations!$B$61</f>
        <v>Information sources:</v>
      </c>
      <c r="C109" s="1020"/>
      <c r="D109" s="1020"/>
      <c r="E109" s="1020"/>
      <c r="F109" s="1020"/>
      <c r="G109" s="1020"/>
      <c r="H109" s="1020"/>
      <c r="I109" s="1020"/>
      <c r="J109" s="1020"/>
      <c r="K109" s="1020"/>
      <c r="L109" s="1020"/>
    </row>
    <row r="110" spans="1:15" x14ac:dyDescent="0.25">
      <c r="A110" s="8"/>
      <c r="B110" s="320" t="str">
        <f>Translations!$B$62</f>
        <v>EU Websites:</v>
      </c>
      <c r="C110" s="318"/>
      <c r="D110" s="996"/>
      <c r="E110" s="960"/>
      <c r="F110" s="960"/>
      <c r="G110" s="960"/>
      <c r="H110" s="960"/>
      <c r="I110" s="960"/>
      <c r="J110" s="960"/>
      <c r="K110" s="960"/>
      <c r="L110" s="960"/>
    </row>
    <row r="111" spans="1:15" s="7" customFormat="1" x14ac:dyDescent="0.25">
      <c r="A111" s="8"/>
      <c r="B111" s="318" t="str">
        <f>Translations!$B$63</f>
        <v>EU-Legislation:</v>
      </c>
      <c r="C111" s="318"/>
      <c r="D111" s="997" t="str">
        <f>HYPERLINK(Translations!$B$64,Translations!$B$64)</f>
        <v xml:space="preserve">http://eur-lex.europa.eu/en/index.htm </v>
      </c>
      <c r="E111" s="998"/>
      <c r="F111" s="998"/>
      <c r="G111" s="998"/>
      <c r="H111" s="998"/>
      <c r="I111" s="998"/>
      <c r="J111" s="960"/>
      <c r="K111" s="960"/>
      <c r="L111" s="960"/>
      <c r="N111" s="910"/>
      <c r="O111" s="592"/>
    </row>
    <row r="112" spans="1:15" s="7" customFormat="1" ht="13.35" customHeight="1" x14ac:dyDescent="0.25">
      <c r="A112" s="8"/>
      <c r="B112" s="318" t="str">
        <f>Translations!$B$65</f>
        <v>EU ETS general:</v>
      </c>
      <c r="C112" s="318"/>
      <c r="D112" s="997" t="str">
        <f>HYPERLINK(Translations!$B$1311,Translations!$B$1311)</f>
        <v>https://ec.europa.eu/clima/eu-action/eu-emissions-trading-system-eu-ets_en</v>
      </c>
      <c r="E112" s="998"/>
      <c r="F112" s="998"/>
      <c r="G112" s="998"/>
      <c r="H112" s="998"/>
      <c r="I112" s="998"/>
      <c r="J112" s="960"/>
      <c r="K112" s="960"/>
      <c r="L112" s="960"/>
      <c r="N112" s="910"/>
      <c r="O112" s="592"/>
    </row>
    <row r="113" spans="1:15" s="7" customFormat="1" ht="13.35" customHeight="1" x14ac:dyDescent="0.25">
      <c r="A113" s="8"/>
      <c r="B113" s="318" t="str">
        <f>Translations!$B$67</f>
        <v xml:space="preserve">Aviation EU ETS: </v>
      </c>
      <c r="C113" s="318"/>
      <c r="D113" s="997" t="str">
        <f>HYPERLINK(Translations!$B$1312,Translations!$B$1312)</f>
        <v>https://ec.europa.eu/clima/eu-action/transport-emissions/reducing-emissions-aviation_en</v>
      </c>
      <c r="E113" s="998"/>
      <c r="F113" s="998"/>
      <c r="G113" s="998"/>
      <c r="H113" s="998"/>
      <c r="I113" s="998"/>
      <c r="J113" s="960"/>
      <c r="K113" s="960"/>
      <c r="L113" s="960"/>
      <c r="N113" s="910"/>
      <c r="O113" s="592"/>
    </row>
    <row r="114" spans="1:15" s="7" customFormat="1" x14ac:dyDescent="0.25">
      <c r="A114" s="8"/>
      <c r="B114" s="996" t="str">
        <f>Translations!$B$69</f>
        <v xml:space="preserve">Monitoring and Reporting in the EU ETS: </v>
      </c>
      <c r="C114" s="960"/>
      <c r="D114" s="960"/>
      <c r="E114" s="960"/>
      <c r="F114" s="960"/>
      <c r="G114" s="960"/>
      <c r="H114" s="960"/>
      <c r="I114" s="960"/>
      <c r="J114" s="960"/>
      <c r="K114" s="960"/>
      <c r="L114" s="960"/>
      <c r="N114" s="910"/>
      <c r="O114" s="592"/>
    </row>
    <row r="115" spans="1:15" s="7" customFormat="1" ht="26.1" customHeight="1" x14ac:dyDescent="0.25">
      <c r="A115" s="8"/>
      <c r="B115" s="318"/>
      <c r="C115" s="318"/>
      <c r="D115" s="997" t="str">
        <f>HYPERLINK(Translations!$B$1309,Translations!$B$1309)</f>
        <v>https://ec.europa.eu/clima/eu-action/eu-emissions-trading-system-eu-ets/monitoring-reporting-and-verification-eu-ets-emissions_en</v>
      </c>
      <c r="E115" s="998"/>
      <c r="F115" s="998"/>
      <c r="G115" s="998"/>
      <c r="H115" s="998"/>
      <c r="I115" s="998"/>
      <c r="J115" s="960"/>
      <c r="K115" s="960"/>
      <c r="L115" s="960"/>
      <c r="N115" s="910"/>
      <c r="O115" s="592"/>
    </row>
    <row r="116" spans="1:15" s="7" customFormat="1" ht="13.35" customHeight="1" x14ac:dyDescent="0.25">
      <c r="A116" s="8"/>
      <c r="B116" s="320" t="str">
        <f>Translations!$B$1085</f>
        <v>CORSIA Website:</v>
      </c>
      <c r="C116" s="318"/>
      <c r="D116" s="997" t="str">
        <f>HYPERLINK(Translations!$B$1066,Translations!$B$1066)</f>
        <v>https://www.icao.int/environmental-protection/CORSIA/Pages/default.aspx</v>
      </c>
      <c r="E116" s="998"/>
      <c r="F116" s="998"/>
      <c r="G116" s="998"/>
      <c r="H116" s="998"/>
      <c r="I116" s="998"/>
      <c r="J116" s="960"/>
      <c r="K116" s="960"/>
      <c r="L116" s="960"/>
      <c r="N116" s="910"/>
      <c r="O116" s="592"/>
    </row>
    <row r="117" spans="1:15" s="7" customFormat="1" x14ac:dyDescent="0.25">
      <c r="A117" s="8"/>
      <c r="B117" s="318"/>
      <c r="C117" s="318"/>
      <c r="D117" s="321"/>
      <c r="E117" s="318"/>
      <c r="F117" s="318"/>
      <c r="G117" s="318"/>
      <c r="H117" s="318"/>
      <c r="I117" s="318"/>
      <c r="J117" s="318"/>
      <c r="K117" s="318"/>
      <c r="L117" s="318"/>
      <c r="N117" s="910"/>
      <c r="O117" s="592"/>
    </row>
    <row r="118" spans="1:15" x14ac:dyDescent="0.25">
      <c r="A118" s="8"/>
      <c r="B118" s="320" t="str">
        <f>Translations!$B$70</f>
        <v>Other Websites:</v>
      </c>
      <c r="C118" s="318"/>
      <c r="D118" s="318"/>
      <c r="E118" s="318"/>
      <c r="F118" s="318"/>
      <c r="G118" s="318"/>
      <c r="H118" s="318"/>
      <c r="I118" s="318"/>
      <c r="J118" s="318"/>
      <c r="K118" s="318"/>
      <c r="L118" s="318"/>
    </row>
    <row r="119" spans="1:15" x14ac:dyDescent="0.25">
      <c r="B119" s="322" t="str">
        <f>Translations!$B$71</f>
        <v>&lt;to be provided by Member State&gt;</v>
      </c>
      <c r="C119" s="322"/>
      <c r="D119" s="322"/>
      <c r="E119" s="322"/>
      <c r="F119" s="322"/>
      <c r="G119" s="322"/>
      <c r="H119" s="322"/>
      <c r="I119" s="322"/>
      <c r="J119" s="10"/>
      <c r="K119" s="10"/>
      <c r="L119" s="10"/>
    </row>
    <row r="120" spans="1:15" x14ac:dyDescent="0.25">
      <c r="B120" s="322"/>
      <c r="C120" s="322"/>
      <c r="D120" s="322"/>
      <c r="E120" s="322"/>
      <c r="F120" s="322"/>
      <c r="G120" s="322"/>
      <c r="H120" s="322"/>
      <c r="I120" s="322"/>
      <c r="J120" s="10"/>
      <c r="K120" s="10"/>
      <c r="L120" s="10"/>
    </row>
    <row r="121" spans="1:15" x14ac:dyDescent="0.25">
      <c r="B121" s="318" t="str">
        <f>Translations!$B$72</f>
        <v>Helpdesk:</v>
      </c>
      <c r="C121" s="10"/>
      <c r="D121" s="10"/>
      <c r="E121" s="10"/>
      <c r="F121" s="10"/>
      <c r="G121" s="10"/>
      <c r="H121" s="10"/>
      <c r="I121" s="10"/>
      <c r="J121" s="10"/>
      <c r="K121" s="10"/>
      <c r="L121" s="10"/>
    </row>
    <row r="122" spans="1:15" x14ac:dyDescent="0.25">
      <c r="B122" s="322" t="str">
        <f>Translations!$B$73</f>
        <v>&lt;to be provided by Member State, if relevant&gt;</v>
      </c>
      <c r="C122" s="322"/>
      <c r="D122" s="322"/>
      <c r="E122" s="322"/>
      <c r="F122" s="322"/>
      <c r="G122" s="322"/>
      <c r="H122" s="322"/>
      <c r="I122" s="322"/>
      <c r="J122" s="10"/>
      <c r="K122" s="10"/>
      <c r="L122" s="10"/>
    </row>
    <row r="123" spans="1:15" x14ac:dyDescent="0.25">
      <c r="B123" s="322"/>
      <c r="C123" s="322"/>
      <c r="D123" s="322"/>
      <c r="E123" s="322"/>
      <c r="F123" s="322"/>
      <c r="G123" s="322"/>
      <c r="H123" s="322"/>
      <c r="I123" s="322"/>
      <c r="J123" s="10"/>
      <c r="K123" s="10"/>
      <c r="L123" s="10"/>
    </row>
    <row r="124" spans="1:15" x14ac:dyDescent="0.25">
      <c r="B124" s="10"/>
      <c r="C124" s="10"/>
      <c r="D124" s="10"/>
      <c r="E124" s="10"/>
      <c r="F124" s="10"/>
      <c r="G124" s="10"/>
      <c r="H124" s="10"/>
      <c r="I124" s="10"/>
      <c r="J124" s="10"/>
      <c r="K124" s="10"/>
      <c r="L124" s="10"/>
    </row>
    <row r="125" spans="1:15" x14ac:dyDescent="0.25">
      <c r="B125" s="10"/>
      <c r="C125" s="10"/>
      <c r="D125" s="10"/>
      <c r="E125" s="10"/>
      <c r="F125" s="10"/>
      <c r="G125" s="10"/>
      <c r="H125" s="10"/>
      <c r="I125" s="10"/>
      <c r="J125" s="10"/>
      <c r="K125" s="10"/>
      <c r="L125" s="10"/>
    </row>
    <row r="126" spans="1:15" ht="15.6" x14ac:dyDescent="0.25">
      <c r="A126" s="8">
        <f>A109+1</f>
        <v>12</v>
      </c>
      <c r="B126" s="1020" t="str">
        <f>Translations!$B$74</f>
        <v>How to use this file:</v>
      </c>
      <c r="C126" s="1020"/>
      <c r="D126" s="1020"/>
      <c r="E126" s="1020"/>
      <c r="F126" s="1020"/>
      <c r="G126" s="1020"/>
      <c r="H126" s="1020"/>
      <c r="I126" s="1020"/>
      <c r="J126" s="1020"/>
      <c r="K126" s="1020"/>
      <c r="L126" s="1020"/>
    </row>
    <row r="127" spans="1:15" ht="25.5" customHeight="1" x14ac:dyDescent="0.25">
      <c r="A127" s="8"/>
      <c r="B127" s="1004" t="str">
        <f>Translations!$B$870</f>
        <v>This template has been developed to accommodate the minimum content of an annual emissions report required by the MRR. Operators should therefore refer to the MRR and additional Member State requirements (if any) when completing.</v>
      </c>
      <c r="C127" s="1004"/>
      <c r="D127" s="1004"/>
      <c r="E127" s="1004"/>
      <c r="F127" s="1004"/>
      <c r="G127" s="1004"/>
      <c r="H127" s="1004"/>
      <c r="I127" s="1004"/>
      <c r="J127" s="1004"/>
      <c r="K127" s="1004"/>
      <c r="L127" s="1004"/>
    </row>
    <row r="128" spans="1:15" s="13" customFormat="1" ht="26.25" customHeight="1" x14ac:dyDescent="0.25">
      <c r="A128" s="8"/>
      <c r="B128" s="971" t="str">
        <f>Translations!$B$76</f>
        <v>It is recommended that you go through the file from start to end. There are a few functions which will guide you through the form which depend on previous input, such as cells changing colour if an input is not needed (see colour codes below).</v>
      </c>
      <c r="C128" s="971"/>
      <c r="D128" s="971"/>
      <c r="E128" s="971"/>
      <c r="F128" s="971"/>
      <c r="G128" s="971"/>
      <c r="H128" s="971"/>
      <c r="I128" s="971"/>
      <c r="J128" s="971"/>
      <c r="K128" s="971"/>
      <c r="L128" s="971"/>
      <c r="N128" s="908"/>
      <c r="O128" s="542"/>
    </row>
    <row r="129" spans="1:15" s="13" customFormat="1" ht="43.5" customHeight="1" x14ac:dyDescent="0.25">
      <c r="A129" s="8"/>
      <c r="B129" s="971" t="str">
        <f>Translations!$B$77</f>
        <v>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v>
      </c>
      <c r="C129" s="971"/>
      <c r="D129" s="971"/>
      <c r="E129" s="971"/>
      <c r="F129" s="971"/>
      <c r="G129" s="971"/>
      <c r="H129" s="971"/>
      <c r="I129" s="971"/>
      <c r="J129" s="971"/>
      <c r="K129" s="971"/>
      <c r="L129" s="971"/>
      <c r="N129" s="908"/>
      <c r="O129" s="542"/>
    </row>
    <row r="130" spans="1:15" s="13" customFormat="1" x14ac:dyDescent="0.25">
      <c r="A130" s="11"/>
      <c r="B130" s="1021" t="str">
        <f>Translations!$B$78</f>
        <v>Colour codes and fonts:</v>
      </c>
      <c r="C130" s="1021"/>
      <c r="D130" s="1021"/>
      <c r="E130" s="1021"/>
      <c r="F130" s="1021"/>
      <c r="G130" s="1021"/>
      <c r="H130" s="1021"/>
      <c r="I130" s="1021"/>
      <c r="J130" s="1021"/>
      <c r="K130" s="1021"/>
      <c r="L130" s="1021"/>
      <c r="N130" s="908"/>
      <c r="O130" s="542"/>
    </row>
    <row r="131" spans="1:15" s="7" customFormat="1" x14ac:dyDescent="0.25">
      <c r="C131" s="963" t="str">
        <f>Translations!$B$79</f>
        <v>Black bold text:</v>
      </c>
      <c r="D131" s="971"/>
      <c r="E131" s="1004" t="str">
        <f>Translations!$B$80</f>
        <v>This is text provided by the Commission template. It should be kept as it is.</v>
      </c>
      <c r="F131" s="1004"/>
      <c r="G131" s="1004"/>
      <c r="H131" s="1004"/>
      <c r="I131" s="1004"/>
      <c r="J131" s="1004"/>
      <c r="K131" s="1004"/>
      <c r="L131" s="1004"/>
      <c r="N131" s="910"/>
      <c r="O131" s="592"/>
    </row>
    <row r="132" spans="1:15" s="7" customFormat="1" ht="25.5" customHeight="1" x14ac:dyDescent="0.25">
      <c r="C132" s="1005" t="str">
        <f>Translations!$B$81</f>
        <v>Smaller italic text:</v>
      </c>
      <c r="D132" s="1005"/>
      <c r="E132" s="1004" t="str">
        <f>Translations!$B$82</f>
        <v>This text gives further explanations. Member States may add further explanations in MS specific versions of the template.</v>
      </c>
      <c r="F132" s="1004"/>
      <c r="G132" s="1004"/>
      <c r="H132" s="1004"/>
      <c r="I132" s="1004"/>
      <c r="J132" s="1004"/>
      <c r="K132" s="1004"/>
      <c r="L132" s="1004"/>
      <c r="N132" s="910"/>
      <c r="O132" s="592"/>
    </row>
    <row r="133" spans="1:15" s="7" customFormat="1" x14ac:dyDescent="0.25">
      <c r="C133" s="1023"/>
      <c r="D133" s="1003"/>
      <c r="E133" s="1004" t="str">
        <f>Translations!$B$83</f>
        <v>Light yellow fields indicate input fields.</v>
      </c>
      <c r="F133" s="1004"/>
      <c r="G133" s="1004"/>
      <c r="H133" s="1004"/>
      <c r="I133" s="1004"/>
      <c r="J133" s="1004"/>
      <c r="K133" s="1004"/>
      <c r="L133" s="1004"/>
      <c r="N133" s="910"/>
      <c r="O133" s="592"/>
    </row>
    <row r="134" spans="1:15" s="7" customFormat="1" x14ac:dyDescent="0.25">
      <c r="C134" s="1024"/>
      <c r="D134" s="1025"/>
      <c r="E134" s="1004" t="str">
        <f>Translations!$B$84</f>
        <v>Green fields show automatically calculated results. Red text indicates error messages (missing data etc.).</v>
      </c>
      <c r="F134" s="1004"/>
      <c r="G134" s="1004"/>
      <c r="H134" s="1004"/>
      <c r="I134" s="1004"/>
      <c r="J134" s="1004"/>
      <c r="K134" s="1004"/>
      <c r="L134" s="1004"/>
      <c r="N134" s="910"/>
      <c r="O134" s="592"/>
    </row>
    <row r="135" spans="1:15" s="7" customFormat="1" x14ac:dyDescent="0.25">
      <c r="C135" s="1002"/>
      <c r="D135" s="1003"/>
      <c r="E135" s="1004" t="str">
        <f>Translations!$B$85</f>
        <v>Shaded fields indicate that an input in another field makes the input here irrelevant.</v>
      </c>
      <c r="F135" s="1004"/>
      <c r="G135" s="1004"/>
      <c r="H135" s="1004"/>
      <c r="I135" s="1004"/>
      <c r="J135" s="1004"/>
      <c r="K135" s="1004"/>
      <c r="L135" s="1004"/>
      <c r="N135" s="910"/>
      <c r="O135" s="592"/>
    </row>
    <row r="136" spans="1:15" s="7" customFormat="1" x14ac:dyDescent="0.25">
      <c r="C136" s="17"/>
      <c r="D136" s="18"/>
      <c r="E136" s="1004" t="str">
        <f>Translations!$B$86</f>
        <v>Grey shaded areas should be filled by Member States before publishing customized version of the template.</v>
      </c>
      <c r="F136" s="1004"/>
      <c r="G136" s="1004"/>
      <c r="H136" s="1004"/>
      <c r="I136" s="1004"/>
      <c r="J136" s="1004"/>
      <c r="K136" s="1004"/>
      <c r="L136" s="1004"/>
      <c r="N136" s="910"/>
      <c r="O136" s="592"/>
    </row>
    <row r="137" spans="1:15" s="13" customFormat="1" x14ac:dyDescent="0.25">
      <c r="A137" s="11"/>
      <c r="B137" s="16"/>
      <c r="C137" s="16"/>
      <c r="D137" s="16"/>
      <c r="E137" s="16"/>
      <c r="F137" s="16"/>
      <c r="G137" s="16"/>
      <c r="H137" s="16"/>
      <c r="I137" s="16"/>
      <c r="J137" s="16"/>
      <c r="K137" s="16"/>
      <c r="L137" s="16"/>
      <c r="N137" s="908"/>
      <c r="O137" s="542"/>
    </row>
    <row r="138" spans="1:15" s="13" customFormat="1" x14ac:dyDescent="0.25">
      <c r="A138" s="300"/>
      <c r="B138" s="301"/>
      <c r="C138" s="301"/>
      <c r="D138" s="301"/>
      <c r="E138" s="301"/>
      <c r="F138" s="301"/>
      <c r="G138" s="301"/>
      <c r="H138" s="301"/>
      <c r="I138" s="301"/>
      <c r="J138" s="301"/>
      <c r="K138" s="301"/>
      <c r="L138" s="301"/>
      <c r="M138" s="300"/>
      <c r="N138" s="908"/>
      <c r="O138" s="542"/>
    </row>
    <row r="139" spans="1:15" s="13" customFormat="1" x14ac:dyDescent="0.25">
      <c r="A139" s="300"/>
      <c r="B139" s="978" t="str">
        <f>Translations!$B$1086</f>
        <v>Sections added to the EU ETS template related to information required for CORSIA are identified by a light blue frame.</v>
      </c>
      <c r="C139" s="978"/>
      <c r="D139" s="978"/>
      <c r="E139" s="978"/>
      <c r="F139" s="978"/>
      <c r="G139" s="978"/>
      <c r="H139" s="978"/>
      <c r="I139" s="978"/>
      <c r="J139" s="978"/>
      <c r="K139" s="978"/>
      <c r="L139" s="978"/>
      <c r="M139" s="300"/>
      <c r="N139" s="908"/>
      <c r="O139" s="542"/>
    </row>
    <row r="140" spans="1:15" s="13" customFormat="1" x14ac:dyDescent="0.25">
      <c r="A140" s="300"/>
      <c r="B140" s="301"/>
      <c r="C140" s="301"/>
      <c r="D140" s="301"/>
      <c r="E140" s="301"/>
      <c r="F140" s="301"/>
      <c r="G140" s="301"/>
      <c r="H140" s="301"/>
      <c r="I140" s="301"/>
      <c r="J140" s="301"/>
      <c r="K140" s="301"/>
      <c r="L140" s="301"/>
      <c r="M140" s="300"/>
      <c r="N140" s="908"/>
      <c r="O140" s="542"/>
    </row>
    <row r="141" spans="1:15" s="13" customFormat="1" x14ac:dyDescent="0.25">
      <c r="A141" s="11"/>
      <c r="B141" s="16"/>
      <c r="C141" s="16"/>
      <c r="D141" s="16"/>
      <c r="E141" s="16"/>
      <c r="F141" s="16"/>
      <c r="G141" s="16"/>
      <c r="H141" s="16"/>
      <c r="I141" s="16"/>
      <c r="J141" s="16"/>
      <c r="K141" s="16"/>
      <c r="L141" s="16"/>
      <c r="N141" s="908"/>
      <c r="O141" s="542"/>
    </row>
    <row r="142" spans="1:15" s="13" customFormat="1" x14ac:dyDescent="0.25">
      <c r="A142" s="481"/>
      <c r="B142" s="482"/>
      <c r="C142" s="482"/>
      <c r="D142" s="482"/>
      <c r="E142" s="482"/>
      <c r="F142" s="482"/>
      <c r="G142" s="482"/>
      <c r="H142" s="482"/>
      <c r="I142" s="482"/>
      <c r="J142" s="482"/>
      <c r="K142" s="482"/>
      <c r="L142" s="482"/>
      <c r="M142" s="481"/>
      <c r="N142" s="908"/>
      <c r="O142" s="542"/>
    </row>
    <row r="143" spans="1:15" s="13" customFormat="1" x14ac:dyDescent="0.25">
      <c r="A143" s="481"/>
      <c r="B143" s="978" t="str">
        <f>Translations!$B$1260</f>
        <v>Sections added to this template related to information required for the CH ETS are identified by a light red frame.</v>
      </c>
      <c r="C143" s="978"/>
      <c r="D143" s="978"/>
      <c r="E143" s="978"/>
      <c r="F143" s="978"/>
      <c r="G143" s="978"/>
      <c r="H143" s="978"/>
      <c r="I143" s="978"/>
      <c r="J143" s="978"/>
      <c r="K143" s="978"/>
      <c r="L143" s="978"/>
      <c r="M143" s="481"/>
      <c r="N143" s="908"/>
      <c r="O143" s="542"/>
    </row>
    <row r="144" spans="1:15" s="13" customFormat="1" x14ac:dyDescent="0.25">
      <c r="A144" s="481"/>
      <c r="B144" s="482"/>
      <c r="C144" s="482"/>
      <c r="D144" s="482"/>
      <c r="E144" s="482"/>
      <c r="F144" s="482"/>
      <c r="G144" s="482"/>
      <c r="H144" s="482"/>
      <c r="I144" s="482"/>
      <c r="J144" s="482"/>
      <c r="K144" s="482"/>
      <c r="L144" s="482"/>
      <c r="M144" s="481"/>
      <c r="N144" s="908"/>
      <c r="O144" s="542"/>
    </row>
    <row r="145" spans="1:15" s="13" customFormat="1" x14ac:dyDescent="0.25">
      <c r="A145" s="11"/>
      <c r="B145" s="16"/>
      <c r="C145" s="16"/>
      <c r="D145" s="16"/>
      <c r="E145" s="16"/>
      <c r="F145" s="16"/>
      <c r="G145" s="16"/>
      <c r="H145" s="16"/>
      <c r="I145" s="16"/>
      <c r="J145" s="16"/>
      <c r="K145" s="16"/>
      <c r="L145" s="16"/>
      <c r="N145" s="908"/>
      <c r="O145" s="542"/>
    </row>
    <row r="146" spans="1:15" s="13" customFormat="1" x14ac:dyDescent="0.25">
      <c r="A146" s="485"/>
      <c r="B146" s="978" t="str">
        <f>Translations!$B$1261</f>
        <v>Sections that are particularly relevant for both, EU ETS and CH ETS, are marked by red shading.</v>
      </c>
      <c r="C146" s="978"/>
      <c r="D146" s="978"/>
      <c r="E146" s="978"/>
      <c r="F146" s="978"/>
      <c r="G146" s="978"/>
      <c r="H146" s="978"/>
      <c r="I146" s="978"/>
      <c r="J146" s="978"/>
      <c r="K146" s="978"/>
      <c r="L146" s="978"/>
      <c r="M146" s="485"/>
      <c r="N146" s="908"/>
      <c r="O146" s="542"/>
    </row>
    <row r="147" spans="1:15" s="13" customFormat="1" x14ac:dyDescent="0.25">
      <c r="A147" s="11"/>
      <c r="B147" s="16"/>
      <c r="C147" s="16"/>
      <c r="D147" s="16"/>
      <c r="E147" s="16"/>
      <c r="F147" s="16"/>
      <c r="G147" s="16"/>
      <c r="H147" s="16"/>
      <c r="I147" s="16"/>
      <c r="J147" s="16"/>
      <c r="K147" s="16"/>
      <c r="L147" s="16"/>
      <c r="N147" s="908"/>
      <c r="O147" s="542"/>
    </row>
    <row r="148" spans="1:15" s="7" customFormat="1" ht="51" customHeight="1" x14ac:dyDescent="0.25">
      <c r="A148" s="6">
        <f>A126+1</f>
        <v>13</v>
      </c>
      <c r="B148" s="1004" t="str">
        <f>Translations!$B$871</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148" s="1004"/>
      <c r="D148" s="1004"/>
      <c r="E148" s="1004"/>
      <c r="F148" s="1004"/>
      <c r="G148" s="1004"/>
      <c r="H148" s="1004"/>
      <c r="I148" s="1004"/>
      <c r="J148" s="1004"/>
      <c r="K148" s="1004"/>
      <c r="L148" s="1004"/>
      <c r="N148" s="910"/>
      <c r="O148" s="592"/>
    </row>
    <row r="149" spans="1:15" s="7" customFormat="1" ht="51" customHeight="1" x14ac:dyDescent="0.25">
      <c r="A149" s="6">
        <f>A148+1</f>
        <v>14</v>
      </c>
      <c r="B149" s="1007" t="str">
        <f>Translations!$B$872</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49" s="996"/>
      <c r="D149" s="996"/>
      <c r="E149" s="996"/>
      <c r="F149" s="996"/>
      <c r="G149" s="996"/>
      <c r="H149" s="996"/>
      <c r="I149" s="996"/>
      <c r="J149" s="996"/>
      <c r="K149" s="996"/>
      <c r="L149" s="971"/>
      <c r="N149" s="910"/>
      <c r="O149" s="592"/>
    </row>
    <row r="150" spans="1:15" s="7" customFormat="1" ht="53.1" customHeight="1" x14ac:dyDescent="0.25">
      <c r="A150" s="6">
        <f>A149+1</f>
        <v>15</v>
      </c>
      <c r="B150" s="1004" t="str">
        <f>Translations!$B$873</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v>
      </c>
      <c r="C150" s="1004"/>
      <c r="D150" s="1004"/>
      <c r="E150" s="1004"/>
      <c r="F150" s="1004"/>
      <c r="G150" s="1004"/>
      <c r="H150" s="1004"/>
      <c r="I150" s="1004"/>
      <c r="J150" s="1004"/>
      <c r="K150" s="1004"/>
      <c r="L150" s="1004"/>
      <c r="N150" s="910"/>
      <c r="O150" s="592"/>
    </row>
    <row r="151" spans="1:15" s="7" customFormat="1" ht="5.0999999999999996" customHeight="1" thickBot="1" x14ac:dyDescent="0.3">
      <c r="B151" s="995"/>
      <c r="C151" s="996"/>
      <c r="D151" s="996"/>
      <c r="E151" s="996"/>
      <c r="F151" s="996"/>
      <c r="G151" s="996"/>
      <c r="H151" s="996"/>
      <c r="I151" s="996"/>
      <c r="J151" s="996"/>
      <c r="K151" s="996"/>
      <c r="N151" s="910"/>
      <c r="O151" s="592"/>
    </row>
    <row r="152" spans="1:15" s="7" customFormat="1" ht="89.25" customHeight="1" thickBot="1" x14ac:dyDescent="0.3">
      <c r="A152" s="6">
        <f>A150+1</f>
        <v>16</v>
      </c>
      <c r="B152" s="1026" t="str">
        <f>Translations!$B$874</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v>
      </c>
      <c r="C152" s="1027"/>
      <c r="D152" s="1027"/>
      <c r="E152" s="1027"/>
      <c r="F152" s="1027"/>
      <c r="G152" s="1027"/>
      <c r="H152" s="1027"/>
      <c r="I152" s="1027"/>
      <c r="J152" s="1027"/>
      <c r="K152" s="1027"/>
      <c r="L152" s="994"/>
      <c r="N152" s="910"/>
      <c r="O152" s="592"/>
    </row>
    <row r="153" spans="1:15" s="7" customFormat="1" ht="5.0999999999999996" customHeight="1" x14ac:dyDescent="0.25">
      <c r="B153" s="995"/>
      <c r="C153" s="996"/>
      <c r="D153" s="996"/>
      <c r="E153" s="996"/>
      <c r="F153" s="996"/>
      <c r="G153" s="996"/>
      <c r="H153" s="996"/>
      <c r="I153" s="996"/>
      <c r="J153" s="996"/>
      <c r="K153" s="996"/>
      <c r="N153" s="910"/>
      <c r="O153" s="592"/>
    </row>
    <row r="154" spans="1:15" s="13" customFormat="1" ht="12.75" customHeight="1" x14ac:dyDescent="0.25">
      <c r="A154" s="11"/>
      <c r="B154" s="1022" t="str">
        <f>Translations!$B$875</f>
        <v>Note: Formulae must be checked and corrected in particular whenever rows and/or columns are added by aircraft operators.</v>
      </c>
      <c r="C154" s="1022"/>
      <c r="D154" s="1022"/>
      <c r="E154" s="1022"/>
      <c r="F154" s="1022"/>
      <c r="G154" s="1022"/>
      <c r="H154" s="1022"/>
      <c r="I154" s="1022"/>
      <c r="J154" s="1022"/>
      <c r="K154" s="1022"/>
      <c r="L154" s="1022"/>
      <c r="N154" s="908"/>
      <c r="O154" s="542"/>
    </row>
    <row r="155" spans="1:15" s="13" customFormat="1" ht="5.0999999999999996" customHeight="1" thickBot="1" x14ac:dyDescent="0.3">
      <c r="A155" s="11"/>
      <c r="B155" s="374"/>
      <c r="C155" s="374"/>
      <c r="D155" s="374"/>
      <c r="E155" s="374"/>
      <c r="F155" s="374"/>
      <c r="G155" s="374"/>
      <c r="H155" s="374"/>
      <c r="I155" s="374"/>
      <c r="J155" s="374"/>
      <c r="K155" s="374"/>
      <c r="L155" s="374"/>
      <c r="N155" s="908"/>
      <c r="O155" s="542"/>
    </row>
    <row r="156" spans="1:15" s="7" customFormat="1" ht="51" customHeight="1" thickBot="1" x14ac:dyDescent="0.3">
      <c r="A156" s="6">
        <f>A152+1</f>
        <v>17</v>
      </c>
      <c r="B156" s="992" t="str">
        <f>Translations!$B$1087</f>
        <v>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v>
      </c>
      <c r="C156" s="993"/>
      <c r="D156" s="993"/>
      <c r="E156" s="993"/>
      <c r="F156" s="993"/>
      <c r="G156" s="993"/>
      <c r="H156" s="993"/>
      <c r="I156" s="993"/>
      <c r="J156" s="993"/>
      <c r="K156" s="993"/>
      <c r="L156" s="994"/>
      <c r="N156" s="910"/>
      <c r="O156" s="592"/>
    </row>
    <row r="157" spans="1:15" s="7" customFormat="1" ht="5.0999999999999996" customHeight="1" x14ac:dyDescent="0.25">
      <c r="B157" s="995"/>
      <c r="C157" s="996"/>
      <c r="D157" s="996"/>
      <c r="E157" s="996"/>
      <c r="F157" s="996"/>
      <c r="G157" s="996"/>
      <c r="H157" s="996"/>
      <c r="I157" s="996"/>
      <c r="J157" s="996"/>
      <c r="K157" s="996"/>
      <c r="N157" s="910"/>
      <c r="O157" s="592"/>
    </row>
    <row r="158" spans="1:15" s="13" customFormat="1" x14ac:dyDescent="0.25">
      <c r="A158" s="11"/>
      <c r="N158" s="908"/>
      <c r="O158" s="542"/>
    </row>
    <row r="159" spans="1:15" ht="15.75" customHeight="1" x14ac:dyDescent="0.25">
      <c r="A159" s="6">
        <f>A156+1</f>
        <v>18</v>
      </c>
      <c r="B159" s="1019" t="str">
        <f>Translations!$B$87</f>
        <v>Member State-specific guidance is listed here:</v>
      </c>
      <c r="C159" s="1019"/>
      <c r="D159" s="1019"/>
      <c r="E159" s="1019"/>
      <c r="F159" s="1019"/>
      <c r="G159" s="1019"/>
      <c r="H159" s="1019"/>
      <c r="I159" s="1019"/>
      <c r="J159" s="1019"/>
      <c r="K159" s="1019"/>
      <c r="L159" s="1019"/>
    </row>
    <row r="160" spans="1:15" x14ac:dyDescent="0.25">
      <c r="B160" s="15"/>
      <c r="C160" s="15"/>
      <c r="D160" s="15"/>
      <c r="E160" s="15"/>
      <c r="F160" s="15"/>
      <c r="G160" s="15"/>
      <c r="H160" s="15"/>
      <c r="I160" s="15"/>
      <c r="J160" s="15"/>
      <c r="K160" s="15"/>
      <c r="L160" s="15"/>
    </row>
    <row r="161" spans="2:12" x14ac:dyDescent="0.25">
      <c r="B161" s="15"/>
      <c r="C161" s="15"/>
      <c r="D161" s="15"/>
      <c r="E161" s="15"/>
      <c r="F161" s="15"/>
      <c r="G161" s="15"/>
      <c r="H161" s="15"/>
      <c r="I161" s="15"/>
      <c r="J161" s="15"/>
      <c r="K161" s="15"/>
      <c r="L161" s="15"/>
    </row>
    <row r="162" spans="2:12" x14ac:dyDescent="0.25">
      <c r="B162" s="15"/>
      <c r="C162" s="15"/>
      <c r="D162" s="15"/>
      <c r="E162" s="15"/>
      <c r="F162" s="15"/>
      <c r="G162" s="15"/>
      <c r="H162" s="15"/>
      <c r="I162" s="15"/>
      <c r="J162" s="15"/>
      <c r="K162" s="15"/>
      <c r="L162" s="15"/>
    </row>
    <row r="163" spans="2:12" x14ac:dyDescent="0.25">
      <c r="B163" s="15"/>
      <c r="C163" s="15"/>
      <c r="D163" s="15"/>
      <c r="E163" s="15"/>
      <c r="F163" s="15"/>
      <c r="G163" s="15"/>
      <c r="H163" s="15"/>
      <c r="I163" s="15"/>
      <c r="J163" s="15"/>
      <c r="K163" s="15"/>
      <c r="L163" s="15"/>
    </row>
    <row r="164" spans="2:12" x14ac:dyDescent="0.25">
      <c r="B164" s="15"/>
      <c r="C164" s="15"/>
      <c r="D164" s="15"/>
      <c r="E164" s="15"/>
      <c r="F164" s="15"/>
      <c r="G164" s="15"/>
      <c r="H164" s="15"/>
      <c r="I164" s="15"/>
      <c r="J164" s="15"/>
      <c r="K164" s="15"/>
      <c r="L164" s="15"/>
    </row>
    <row r="165" spans="2:12" x14ac:dyDescent="0.25">
      <c r="B165" s="15"/>
      <c r="C165" s="15"/>
      <c r="D165" s="15"/>
      <c r="E165" s="15"/>
      <c r="F165" s="15"/>
      <c r="G165" s="15"/>
      <c r="H165" s="15"/>
      <c r="I165" s="15"/>
      <c r="J165" s="15"/>
      <c r="K165" s="15"/>
      <c r="L165" s="15"/>
    </row>
    <row r="166" spans="2:12" x14ac:dyDescent="0.25">
      <c r="B166" s="15"/>
      <c r="C166" s="15"/>
      <c r="D166" s="15"/>
      <c r="E166" s="15"/>
      <c r="F166" s="15"/>
      <c r="G166" s="15"/>
      <c r="H166" s="15"/>
      <c r="I166" s="15"/>
      <c r="J166" s="15"/>
      <c r="K166" s="15"/>
      <c r="L166" s="15"/>
    </row>
    <row r="167" spans="2:12" x14ac:dyDescent="0.25">
      <c r="B167" s="15"/>
      <c r="C167" s="15"/>
      <c r="D167" s="15"/>
      <c r="E167" s="15"/>
      <c r="F167" s="15"/>
      <c r="G167" s="15"/>
      <c r="H167" s="15"/>
      <c r="I167" s="15"/>
      <c r="J167" s="15"/>
      <c r="K167" s="15"/>
      <c r="L167" s="15"/>
    </row>
    <row r="168" spans="2:12" x14ac:dyDescent="0.25">
      <c r="B168" s="15"/>
      <c r="C168" s="15"/>
      <c r="D168" s="15"/>
      <c r="E168" s="15"/>
      <c r="F168" s="15"/>
      <c r="G168" s="15"/>
      <c r="H168" s="15"/>
      <c r="I168" s="15"/>
      <c r="J168" s="15"/>
      <c r="K168" s="15"/>
      <c r="L168" s="15"/>
    </row>
    <row r="169" spans="2:12" x14ac:dyDescent="0.25">
      <c r="B169" s="15"/>
      <c r="C169" s="15"/>
      <c r="D169" s="15"/>
      <c r="E169" s="15"/>
      <c r="F169" s="15"/>
      <c r="G169" s="15"/>
      <c r="H169" s="15"/>
      <c r="I169" s="15"/>
      <c r="J169" s="15"/>
      <c r="K169" s="15"/>
      <c r="L169" s="15"/>
    </row>
    <row r="170" spans="2:12" x14ac:dyDescent="0.25">
      <c r="B170" s="15"/>
      <c r="C170" s="15"/>
      <c r="D170" s="15"/>
      <c r="E170" s="15"/>
      <c r="F170" s="15"/>
      <c r="G170" s="15"/>
      <c r="H170" s="15"/>
      <c r="I170" s="15"/>
      <c r="J170" s="15"/>
      <c r="K170" s="15"/>
      <c r="L170" s="15"/>
    </row>
    <row r="171" spans="2:12" x14ac:dyDescent="0.25">
      <c r="B171" s="15"/>
      <c r="C171" s="15"/>
      <c r="D171" s="15"/>
      <c r="E171" s="15"/>
      <c r="F171" s="15"/>
      <c r="G171" s="15"/>
      <c r="H171" s="15"/>
      <c r="I171" s="15"/>
      <c r="J171" s="15"/>
      <c r="K171" s="15"/>
      <c r="L171" s="15"/>
    </row>
  </sheetData>
  <sheetProtection sheet="1" objects="1" scenarios="1" formatCells="0" formatColumns="0" formatRows="0" insertColumns="0" insertRows="0"/>
  <mergeCells count="129">
    <mergeCell ref="B38:L38"/>
    <mergeCell ref="B44:L44"/>
    <mergeCell ref="B48:L48"/>
    <mergeCell ref="B58:L58"/>
    <mergeCell ref="C59:L59"/>
    <mergeCell ref="C61:L61"/>
    <mergeCell ref="C62:L62"/>
    <mergeCell ref="C60:L60"/>
    <mergeCell ref="B33:L33"/>
    <mergeCell ref="B34:L34"/>
    <mergeCell ref="B35:L35"/>
    <mergeCell ref="B36:L36"/>
    <mergeCell ref="B45:L45"/>
    <mergeCell ref="B47:L47"/>
    <mergeCell ref="B55:L55"/>
    <mergeCell ref="B49:L49"/>
    <mergeCell ref="B39:L39"/>
    <mergeCell ref="C40:L40"/>
    <mergeCell ref="C41:L41"/>
    <mergeCell ref="D42:L42"/>
    <mergeCell ref="D43:L43"/>
    <mergeCell ref="D110:L110"/>
    <mergeCell ref="D111:L111"/>
    <mergeCell ref="D112:L112"/>
    <mergeCell ref="B50:L50"/>
    <mergeCell ref="B51:L51"/>
    <mergeCell ref="C52:L52"/>
    <mergeCell ref="C53:L53"/>
    <mergeCell ref="B63:L63"/>
    <mergeCell ref="B54:L54"/>
    <mergeCell ref="B56:L56"/>
    <mergeCell ref="E97:H104"/>
    <mergeCell ref="B79:L79"/>
    <mergeCell ref="B75:L75"/>
    <mergeCell ref="B159:L159"/>
    <mergeCell ref="B109:L109"/>
    <mergeCell ref="B129:L129"/>
    <mergeCell ref="B130:L130"/>
    <mergeCell ref="B126:L126"/>
    <mergeCell ref="B151:K151"/>
    <mergeCell ref="B154:L154"/>
    <mergeCell ref="B139:L139"/>
    <mergeCell ref="E136:L136"/>
    <mergeCell ref="E132:L132"/>
    <mergeCell ref="C133:D133"/>
    <mergeCell ref="E133:L133"/>
    <mergeCell ref="C134:D134"/>
    <mergeCell ref="B152:L152"/>
    <mergeCell ref="B153:K153"/>
    <mergeCell ref="E134:L134"/>
    <mergeCell ref="B146:L146"/>
    <mergeCell ref="D115:L115"/>
    <mergeCell ref="D116:L116"/>
    <mergeCell ref="B114:L114"/>
    <mergeCell ref="B127:L127"/>
    <mergeCell ref="B128:L128"/>
    <mergeCell ref="C131:D131"/>
    <mergeCell ref="E131:L131"/>
    <mergeCell ref="B4:L4"/>
    <mergeCell ref="B5:L5"/>
    <mergeCell ref="B6:L6"/>
    <mergeCell ref="B7:L7"/>
    <mergeCell ref="B9:L9"/>
    <mergeCell ref="B26:L26"/>
    <mergeCell ref="B27:L27"/>
    <mergeCell ref="B23:L23"/>
    <mergeCell ref="B10:L10"/>
    <mergeCell ref="B13:L13"/>
    <mergeCell ref="B14:L14"/>
    <mergeCell ref="B15:L15"/>
    <mergeCell ref="B12:L12"/>
    <mergeCell ref="B19:L19"/>
    <mergeCell ref="B20:L20"/>
    <mergeCell ref="B21:L21"/>
    <mergeCell ref="B22:L22"/>
    <mergeCell ref="B24:L24"/>
    <mergeCell ref="B25:L25"/>
    <mergeCell ref="B16:L16"/>
    <mergeCell ref="B17:L17"/>
    <mergeCell ref="B11:L11"/>
    <mergeCell ref="B8:L8"/>
    <mergeCell ref="B2:J2"/>
    <mergeCell ref="B106:L106"/>
    <mergeCell ref="B3:L3"/>
    <mergeCell ref="B86:L86"/>
    <mergeCell ref="B72:L72"/>
    <mergeCell ref="B80:L80"/>
    <mergeCell ref="B81:L81"/>
    <mergeCell ref="B70:L70"/>
    <mergeCell ref="B83:L83"/>
    <mergeCell ref="C90:L90"/>
    <mergeCell ref="B77:L77"/>
    <mergeCell ref="B78:L78"/>
    <mergeCell ref="C93:L93"/>
    <mergeCell ref="B84:L84"/>
    <mergeCell ref="B69:L69"/>
    <mergeCell ref="B71:L71"/>
    <mergeCell ref="B94:L94"/>
    <mergeCell ref="C87:L87"/>
    <mergeCell ref="C92:L92"/>
    <mergeCell ref="B28:L28"/>
    <mergeCell ref="B37:L37"/>
    <mergeCell ref="C57:L57"/>
    <mergeCell ref="B29:L29"/>
    <mergeCell ref="B30:L30"/>
    <mergeCell ref="B31:L31"/>
    <mergeCell ref="B32:L32"/>
    <mergeCell ref="B156:L156"/>
    <mergeCell ref="B157:K157"/>
    <mergeCell ref="B64:L64"/>
    <mergeCell ref="B65:L65"/>
    <mergeCell ref="B66:L66"/>
    <mergeCell ref="B76:L76"/>
    <mergeCell ref="B68:L68"/>
    <mergeCell ref="B95:L95"/>
    <mergeCell ref="C135:D135"/>
    <mergeCell ref="E135:L135"/>
    <mergeCell ref="C132:D132"/>
    <mergeCell ref="B73:L73"/>
    <mergeCell ref="B74:L74"/>
    <mergeCell ref="C91:L91"/>
    <mergeCell ref="C89:L89"/>
    <mergeCell ref="C88:L88"/>
    <mergeCell ref="B150:L150"/>
    <mergeCell ref="B148:L148"/>
    <mergeCell ref="B149:L149"/>
    <mergeCell ref="B107:L107"/>
    <mergeCell ref="B143:L143"/>
    <mergeCell ref="D113:L113"/>
  </mergeCells>
  <phoneticPr fontId="12" type="noConversion"/>
  <conditionalFormatting sqref="A146">
    <cfRule type="expression" dxfId="74" priority="1">
      <formula>CONTR_onlyCORSIA=TRUE</formula>
    </cfRule>
  </conditionalFormatting>
  <conditionalFormatting sqref="M146">
    <cfRule type="expression" dxfId="73" priority="2">
      <formula>CONTR_onlyCORSIA=TRUE</formula>
    </cfRule>
  </conditionalFormatting>
  <hyperlinks>
    <hyperlink ref="D111" r:id="rId1" display="http://eur-lex.europa.eu/en/index.htm " xr:uid="{00000000-0004-0000-0100-000000000000}"/>
    <hyperlink ref="B13" r:id="rId2" display="https://eur-lex.europa.eu/eli/reg_del/2019/1603/oj" xr:uid="{00000000-0004-0000-0100-000001000000}"/>
    <hyperlink ref="B21" r:id="rId3" display="https://eur-lex.europa.eu/legal-content/EN/TXT/?uri=CELEX:22017A1207(01)" xr:uid="{00000000-0004-0000-0100-000002000000}"/>
    <hyperlink ref="B15" r:id="rId4" xr:uid="{00000000-0004-0000-0100-000003000000}"/>
    <hyperlink ref="B7" r:id="rId5" display="http://data.europa.eu/eli/dir/2003/87/2024-03-01" xr:uid="{00000000-0004-0000-0100-000004000000}"/>
    <hyperlink ref="B45" r:id="rId6" xr:uid="{00000000-0004-0000-0100-000005000000}"/>
  </hyperlinks>
  <pageMargins left="0.78740157480314965" right="0.78740157480314965" top="0.78740157480314965" bottom="0.78740157480314965" header="0.39370078740157483" footer="0.39370078740157483"/>
  <pageSetup paperSize="9" scale="58" fitToHeight="2" orientation="portrait" r:id="rId7"/>
  <headerFooter alignWithMargins="0">
    <oddFooter>&amp;L&amp;F&amp;C&amp;A&amp;R&amp;P / &amp;N</oddFooter>
  </headerFooter>
  <rowBreaks count="1" manualBreakCount="1">
    <brk id="11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N157"/>
  <sheetViews>
    <sheetView showGridLines="0" topLeftCell="B2" zoomScale="115" zoomScaleNormal="115" zoomScaleSheetLayoutView="140" workbookViewId="0">
      <selection activeCell="B2" sqref="B2"/>
    </sheetView>
  </sheetViews>
  <sheetFormatPr defaultColWidth="11.44140625" defaultRowHeight="13.2" x14ac:dyDescent="0.25"/>
  <cols>
    <col min="1" max="1" width="2.88671875" style="193" hidden="1" customWidth="1"/>
    <col min="2" max="2" width="3.109375" style="56" customWidth="1"/>
    <col min="3" max="3" width="4.109375" style="56" customWidth="1"/>
    <col min="4" max="11" width="12.5546875" style="56" customWidth="1"/>
    <col min="12" max="12" width="3.109375" style="56" customWidth="1"/>
    <col min="13" max="13" width="9.109375" style="124" hidden="1" customWidth="1"/>
    <col min="14" max="14" width="11.44140625" style="312" customWidth="1"/>
    <col min="15" max="16384" width="11.44140625" style="56"/>
  </cols>
  <sheetData>
    <row r="1" spans="1:14" hidden="1" x14ac:dyDescent="0.25">
      <c r="A1" s="193" t="s">
        <v>38</v>
      </c>
      <c r="B1" s="193"/>
      <c r="C1" s="193"/>
      <c r="D1" s="193"/>
      <c r="E1" s="193"/>
      <c r="F1" s="193"/>
      <c r="G1" s="193"/>
      <c r="H1" s="193"/>
      <c r="I1" s="193"/>
      <c r="J1" s="193"/>
      <c r="K1" s="193"/>
      <c r="L1" s="193"/>
      <c r="M1" s="124" t="s">
        <v>38</v>
      </c>
    </row>
    <row r="2" spans="1:14" x14ac:dyDescent="0.25">
      <c r="C2" s="106"/>
      <c r="F2" s="115"/>
      <c r="G2" s="115"/>
    </row>
    <row r="3" spans="1:14" ht="23.25" customHeight="1" x14ac:dyDescent="0.25">
      <c r="C3" s="1068" t="str">
        <f>Translations!$B$876</f>
        <v>GENERAL INFORMATION ABOUT THIS REPORT</v>
      </c>
      <c r="D3" s="1068"/>
      <c r="E3" s="1068"/>
      <c r="F3" s="1068"/>
      <c r="G3" s="1068"/>
      <c r="H3" s="1068"/>
      <c r="I3" s="1068"/>
      <c r="J3" s="1068"/>
      <c r="K3" s="1068"/>
    </row>
    <row r="5" spans="1:14" ht="15.6" x14ac:dyDescent="0.3">
      <c r="C5" s="85">
        <v>1</v>
      </c>
      <c r="D5" s="58" t="str">
        <f>Translations!$B$1088</f>
        <v>Reporting Year and Scope</v>
      </c>
      <c r="E5" s="58"/>
      <c r="F5" s="58"/>
      <c r="G5" s="58"/>
      <c r="H5" s="58"/>
      <c r="I5" s="58"/>
      <c r="J5" s="58"/>
      <c r="K5" s="58"/>
    </row>
    <row r="6" spans="1:14" ht="13.8" thickBot="1" x14ac:dyDescent="0.3">
      <c r="M6" s="124" t="s">
        <v>39</v>
      </c>
    </row>
    <row r="7" spans="1:14" s="118" customFormat="1" ht="20.25" customHeight="1" thickBot="1" x14ac:dyDescent="0.3">
      <c r="A7" s="135"/>
      <c r="C7" s="119" t="s">
        <v>33</v>
      </c>
      <c r="D7" s="1072" t="str">
        <f>Translations!$B$850</f>
        <v>Reporting year:</v>
      </c>
      <c r="E7" s="1072"/>
      <c r="F7" s="1072"/>
      <c r="G7" s="1072"/>
      <c r="H7" s="1072"/>
      <c r="I7" s="1073">
        <v>2024</v>
      </c>
      <c r="J7" s="1074"/>
      <c r="K7" s="1075"/>
      <c r="M7" s="370">
        <f>IF(I7="","",I7)</f>
        <v>2024</v>
      </c>
      <c r="N7" s="312"/>
    </row>
    <row r="8" spans="1:14" ht="12.75" customHeight="1" x14ac:dyDescent="0.25">
      <c r="B8" s="70"/>
      <c r="C8" s="59"/>
      <c r="D8" s="1046" t="str">
        <f>Translations!$B$878</f>
        <v>This is the year in which the reported aviation activities took place, i.e. 2013 for the report which you submit by 31 March 2014.</v>
      </c>
      <c r="E8" s="1046"/>
      <c r="F8" s="1046"/>
      <c r="G8" s="1046"/>
      <c r="H8" s="1046"/>
      <c r="I8" s="1047"/>
      <c r="J8" s="1047"/>
      <c r="K8" s="1047"/>
    </row>
    <row r="9" spans="1:14" ht="5.0999999999999996" customHeight="1" x14ac:dyDescent="0.25"/>
    <row r="10" spans="1:14" x14ac:dyDescent="0.25">
      <c r="C10" s="119" t="s">
        <v>34</v>
      </c>
      <c r="D10" s="963" t="str">
        <f>Translations!$B$1089</f>
        <v>Version number of this emission report:</v>
      </c>
      <c r="E10" s="963"/>
      <c r="F10" s="963"/>
      <c r="G10" s="963"/>
      <c r="H10" s="963"/>
      <c r="I10" s="963"/>
      <c r="J10" s="964"/>
      <c r="K10" s="311"/>
    </row>
    <row r="11" spans="1:14" x14ac:dyDescent="0.25">
      <c r="D11" s="1046" t="str">
        <f>Translations!$B$1090</f>
        <v>This should be a natural number (starting from 1) helping the verifier and competent authority to identify the version of the report verified.</v>
      </c>
      <c r="E11" s="1046"/>
      <c r="F11" s="1046"/>
      <c r="G11" s="1046"/>
      <c r="H11" s="1046"/>
      <c r="I11" s="1047"/>
      <c r="J11" s="1047"/>
      <c r="K11" s="1047"/>
    </row>
    <row r="12" spans="1:14" ht="5.0999999999999996" customHeight="1" x14ac:dyDescent="0.25"/>
    <row r="13" spans="1:14" x14ac:dyDescent="0.25">
      <c r="C13" s="119" t="s">
        <v>35</v>
      </c>
      <c r="D13" s="180" t="str">
        <f>Translations!$B$1091</f>
        <v>Language in which this report is filled:</v>
      </c>
      <c r="E13" s="180"/>
      <c r="F13" s="180"/>
      <c r="G13" s="180"/>
      <c r="H13" s="180"/>
      <c r="I13" s="180"/>
      <c r="J13" s="1056" t="s">
        <v>40</v>
      </c>
      <c r="K13" s="1057"/>
    </row>
    <row r="14" spans="1:14" ht="38.25" customHeight="1" x14ac:dyDescent="0.25">
      <c r="D14" s="1078" t="str">
        <f>Translations!$B$1092</f>
        <v>For performing automated checks on the data reported, it is important that the complete report is filled consistently in one language (which may deviate from the template's language). Please confirm here the language in which you have filled the report.</v>
      </c>
      <c r="E14" s="1078"/>
      <c r="F14" s="1078"/>
      <c r="G14" s="1078"/>
      <c r="H14" s="1078"/>
      <c r="I14" s="1079"/>
      <c r="J14" s="1079"/>
      <c r="K14" s="1079"/>
    </row>
    <row r="15" spans="1:14" ht="5.0999999999999996" customHeight="1" x14ac:dyDescent="0.25"/>
    <row r="16" spans="1:14" x14ac:dyDescent="0.25">
      <c r="C16" s="119" t="s">
        <v>36</v>
      </c>
      <c r="D16" s="180" t="str">
        <f>Translations!$B$1349</f>
        <v>Has the Art. 28a(4) derogation been used?</v>
      </c>
      <c r="E16" s="180"/>
      <c r="F16" s="180"/>
      <c r="G16" s="180"/>
      <c r="H16" s="180"/>
      <c r="I16" s="180"/>
      <c r="J16" s="180"/>
      <c r="K16" s="310"/>
    </row>
    <row r="17" spans="2:14" ht="38.25" customHeight="1" x14ac:dyDescent="0.25">
      <c r="D17" s="1044" t="str">
        <f>Translations!$B$1350</f>
        <v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E17" s="1044"/>
      <c r="F17" s="1044"/>
      <c r="G17" s="1044"/>
      <c r="H17" s="1044"/>
      <c r="I17" s="1044"/>
      <c r="J17" s="1044"/>
      <c r="K17" s="1044"/>
      <c r="L17" s="1044"/>
      <c r="N17" s="914"/>
    </row>
    <row r="18" spans="2:14" ht="25.5" customHeight="1" x14ac:dyDescent="0.25">
      <c r="D18" s="1044" t="str">
        <f>Translations!$B$1315</f>
        <v>Note that for the purposes of the EU ETS, the threshold applies to the sum of all flights within EEA, outgoing from EEA and incoming to EEA, including those incoming from Switzerland and the UK.</v>
      </c>
      <c r="E18" s="960"/>
      <c r="F18" s="960"/>
      <c r="G18" s="960"/>
      <c r="H18" s="960"/>
      <c r="I18" s="960"/>
      <c r="J18" s="960"/>
      <c r="K18" s="960"/>
      <c r="L18" s="201"/>
      <c r="N18" s="914"/>
    </row>
    <row r="19" spans="2:14" ht="38.25" customHeight="1" x14ac:dyDescent="0.25">
      <c r="D19" s="1044"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E19" s="1044"/>
      <c r="F19" s="1044"/>
      <c r="G19" s="1044"/>
      <c r="H19" s="1044"/>
      <c r="I19" s="1044"/>
      <c r="J19" s="1044"/>
      <c r="K19" s="1044"/>
      <c r="L19" s="1044"/>
      <c r="N19" s="914"/>
    </row>
    <row r="20" spans="2:14" ht="5.0999999999999996" customHeight="1" x14ac:dyDescent="0.25">
      <c r="N20" s="914"/>
    </row>
    <row r="21" spans="2:14" x14ac:dyDescent="0.25">
      <c r="B21" s="304"/>
      <c r="C21" s="304"/>
      <c r="D21" s="304"/>
      <c r="E21" s="304"/>
      <c r="F21" s="304"/>
      <c r="G21" s="304"/>
      <c r="H21" s="304"/>
      <c r="I21" s="304"/>
      <c r="J21" s="304"/>
      <c r="K21" s="304"/>
      <c r="L21" s="304"/>
      <c r="N21" s="914"/>
    </row>
    <row r="22" spans="2:14" x14ac:dyDescent="0.25">
      <c r="B22" s="304"/>
      <c r="D22" s="78" t="str">
        <f>Translations!$B$1096</f>
        <v>Scope: EU ETS and/or CORSIA:</v>
      </c>
      <c r="L22" s="304"/>
      <c r="N22" s="914"/>
    </row>
    <row r="23" spans="2:14" x14ac:dyDescent="0.25">
      <c r="B23" s="304"/>
      <c r="D23" s="1051" t="str">
        <f>Translations!$B$1097</f>
        <v>Note: If this section is kept empty, it is automatically assumed that this report is filled for EU ETS only.</v>
      </c>
      <c r="E23" s="968"/>
      <c r="F23" s="968"/>
      <c r="G23" s="968"/>
      <c r="H23" s="968"/>
      <c r="I23" s="968"/>
      <c r="J23" s="968"/>
      <c r="K23" s="968"/>
      <c r="L23" s="304"/>
      <c r="N23" s="914"/>
    </row>
    <row r="24" spans="2:14" ht="5.0999999999999996" customHeight="1" x14ac:dyDescent="0.25">
      <c r="B24" s="304"/>
      <c r="L24" s="304"/>
      <c r="N24" s="914"/>
    </row>
    <row r="25" spans="2:14" ht="25.5" customHeight="1" x14ac:dyDescent="0.25">
      <c r="B25" s="304"/>
      <c r="D25" s="971" t="s">
        <v>1929</v>
      </c>
      <c r="E25" s="964"/>
      <c r="F25" s="964"/>
      <c r="G25" s="964"/>
      <c r="H25" s="964"/>
      <c r="I25" s="964"/>
      <c r="J25" s="964"/>
      <c r="K25" s="964"/>
      <c r="L25" s="302"/>
      <c r="M25" s="371"/>
      <c r="N25" s="914" t="s">
        <v>13</v>
      </c>
    </row>
    <row r="26" spans="2:14" ht="53.1" customHeight="1" x14ac:dyDescent="0.25">
      <c r="B26" s="304"/>
      <c r="D26" s="996" t="s">
        <v>1971</v>
      </c>
      <c r="E26" s="960"/>
      <c r="F26" s="960"/>
      <c r="G26" s="960"/>
      <c r="H26" s="960"/>
      <c r="I26" s="960"/>
      <c r="J26" s="960"/>
      <c r="K26" s="960"/>
      <c r="L26" s="302"/>
      <c r="M26" s="371"/>
      <c r="N26" s="914" t="s">
        <v>13</v>
      </c>
    </row>
    <row r="27" spans="2:14" ht="79.2" customHeight="1" x14ac:dyDescent="0.25">
      <c r="B27" s="304"/>
      <c r="D27" s="971" t="s">
        <v>2037</v>
      </c>
      <c r="E27" s="971"/>
      <c r="F27" s="971"/>
      <c r="G27" s="971"/>
      <c r="H27" s="971"/>
      <c r="I27" s="971"/>
      <c r="J27" s="971"/>
      <c r="K27" s="971"/>
      <c r="L27" s="302"/>
      <c r="M27" s="371"/>
      <c r="N27" s="914" t="s">
        <v>13</v>
      </c>
    </row>
    <row r="28" spans="2:14" ht="39.6" customHeight="1" x14ac:dyDescent="0.25">
      <c r="B28" s="304"/>
      <c r="D28" s="971" t="s">
        <v>1930</v>
      </c>
      <c r="E28" s="971"/>
      <c r="F28" s="971"/>
      <c r="G28" s="971"/>
      <c r="H28" s="971"/>
      <c r="I28" s="971"/>
      <c r="J28" s="971"/>
      <c r="K28" s="971"/>
      <c r="L28" s="302"/>
      <c r="M28" s="371" t="s">
        <v>41</v>
      </c>
      <c r="N28" s="914" t="s">
        <v>13</v>
      </c>
    </row>
    <row r="29" spans="2:14" ht="5.0999999999999996" customHeight="1" x14ac:dyDescent="0.25">
      <c r="B29" s="304"/>
      <c r="D29" s="1"/>
      <c r="E29" s="1"/>
      <c r="F29" s="1"/>
      <c r="G29" s="1"/>
      <c r="H29" s="1"/>
      <c r="I29" s="1"/>
      <c r="J29" s="1"/>
      <c r="K29" s="1"/>
      <c r="L29" s="302"/>
      <c r="M29" s="371"/>
      <c r="N29" s="914"/>
    </row>
    <row r="30" spans="2:14" ht="13.5" customHeight="1" x14ac:dyDescent="0.25">
      <c r="B30" s="304"/>
      <c r="C30" s="119" t="s">
        <v>37</v>
      </c>
      <c r="D30" s="963" t="str">
        <f>Translations!$B$1102</f>
        <v>Please confirm if you want to use this emission report for CORSIA:</v>
      </c>
      <c r="E30" s="963"/>
      <c r="F30" s="963"/>
      <c r="G30" s="963"/>
      <c r="H30" s="963"/>
      <c r="I30" s="963"/>
      <c r="J30" s="964"/>
      <c r="K30" s="310"/>
      <c r="L30" s="302"/>
      <c r="M30" s="372" t="b">
        <f>IF(ISBLANK(K30),TRUE,K30)</f>
        <v>1</v>
      </c>
      <c r="N30" s="914"/>
    </row>
    <row r="31" spans="2:14" ht="5.0999999999999996" customHeight="1" x14ac:dyDescent="0.25">
      <c r="B31" s="304"/>
      <c r="D31" s="1"/>
      <c r="E31" s="1"/>
      <c r="F31" s="1"/>
      <c r="G31" s="1"/>
      <c r="H31" s="1"/>
      <c r="I31" s="1"/>
      <c r="J31" s="1"/>
      <c r="K31" s="1"/>
      <c r="L31" s="302"/>
      <c r="M31" s="371"/>
      <c r="N31" s="914"/>
    </row>
    <row r="32" spans="2:14" ht="13.5" customHeight="1" x14ac:dyDescent="0.25">
      <c r="B32" s="304"/>
      <c r="C32" s="119" t="s">
        <v>42</v>
      </c>
      <c r="D32" s="999" t="str">
        <f>Translations!$B$1103</f>
        <v>Are you required to comply with CORSIA in another state?</v>
      </c>
      <c r="E32" s="1000"/>
      <c r="F32" s="1000"/>
      <c r="G32" s="1000"/>
      <c r="H32" s="1000"/>
      <c r="I32" s="1000"/>
      <c r="J32" s="1000"/>
      <c r="K32" s="310"/>
      <c r="L32" s="302"/>
      <c r="M32" s="372" t="b">
        <f>(K30=TRUE)</f>
        <v>0</v>
      </c>
      <c r="N32" s="914"/>
    </row>
    <row r="33" spans="2:14" ht="5.0999999999999996" customHeight="1" x14ac:dyDescent="0.25">
      <c r="B33" s="304"/>
      <c r="D33" s="1"/>
      <c r="E33" s="1"/>
      <c r="F33" s="1"/>
      <c r="G33" s="1"/>
      <c r="H33" s="1"/>
      <c r="I33" s="1"/>
      <c r="J33" s="1"/>
      <c r="K33" s="1"/>
      <c r="L33" s="302"/>
      <c r="M33" s="371"/>
      <c r="N33" s="914"/>
    </row>
    <row r="34" spans="2:14" ht="12.75" customHeight="1" x14ac:dyDescent="0.25">
      <c r="B34" s="304"/>
      <c r="C34" s="119" t="s">
        <v>43</v>
      </c>
      <c r="D34" s="1058" t="str">
        <f>Translations!$B$1104</f>
        <v>Please confirm to which other state you will report under CORSIA:</v>
      </c>
      <c r="E34" s="1059"/>
      <c r="F34" s="1059"/>
      <c r="G34" s="1059"/>
      <c r="H34" s="1060"/>
      <c r="I34" s="1048"/>
      <c r="J34" s="1049"/>
      <c r="K34" s="1050"/>
      <c r="L34" s="302"/>
      <c r="M34" s="372" t="b">
        <f>OR(K30=TRUE,AND(NOT(ISBLANK(K32)),K32=FALSE))</f>
        <v>0</v>
      </c>
      <c r="N34" s="914"/>
    </row>
    <row r="35" spans="2:14" ht="5.0999999999999996" customHeight="1" x14ac:dyDescent="0.25">
      <c r="B35" s="304"/>
      <c r="D35" s="1"/>
      <c r="E35" s="1"/>
      <c r="F35" s="1"/>
      <c r="G35" s="1"/>
      <c r="H35" s="1"/>
      <c r="I35" s="1"/>
      <c r="J35" s="1"/>
      <c r="K35" s="1"/>
      <c r="L35" s="302"/>
      <c r="M35" s="371"/>
      <c r="N35" s="914"/>
    </row>
    <row r="36" spans="2:14" ht="25.5" customHeight="1" x14ac:dyDescent="0.25">
      <c r="B36" s="304"/>
      <c r="D36" s="971" t="str">
        <f>Translations!$B$1105</f>
        <v>Some aircraft operators have an obligation under CORSIA only, i.e. no obligation under the EU ETS. If you are filling this emissions report for CORSIA purposes only, please confirm below that this is the case.</v>
      </c>
      <c r="E36" s="971"/>
      <c r="F36" s="971"/>
      <c r="G36" s="971"/>
      <c r="H36" s="971"/>
      <c r="I36" s="971"/>
      <c r="J36" s="971"/>
      <c r="K36" s="971"/>
      <c r="L36" s="302"/>
      <c r="M36" s="373" t="s">
        <v>44</v>
      </c>
      <c r="N36" s="914"/>
    </row>
    <row r="37" spans="2:14" ht="5.0999999999999996" customHeight="1" x14ac:dyDescent="0.25">
      <c r="B37" s="304"/>
      <c r="D37" s="1"/>
      <c r="E37" s="1"/>
      <c r="F37" s="1"/>
      <c r="G37" s="1"/>
      <c r="H37" s="1"/>
      <c r="I37" s="1"/>
      <c r="J37" s="1"/>
      <c r="K37" s="1"/>
      <c r="L37" s="302"/>
      <c r="M37" s="371"/>
      <c r="N37" s="914"/>
    </row>
    <row r="38" spans="2:14" ht="13.5" customHeight="1" x14ac:dyDescent="0.25">
      <c r="B38" s="304"/>
      <c r="C38" s="119" t="s">
        <v>45</v>
      </c>
      <c r="D38" s="963" t="str">
        <f>Translations!$B$1106</f>
        <v>Please confirm if you have an obligation under the EU ETS:</v>
      </c>
      <c r="E38" s="963"/>
      <c r="F38" s="963"/>
      <c r="G38" s="963"/>
      <c r="H38" s="963"/>
      <c r="I38" s="963"/>
      <c r="J38" s="13"/>
      <c r="K38" s="310"/>
      <c r="L38" s="302"/>
      <c r="M38" s="372" t="b">
        <f>IF(ISBLANK(K38),FALSE,NOT(K38))</f>
        <v>0</v>
      </c>
      <c r="N38" s="914"/>
    </row>
    <row r="39" spans="2:14" ht="5.0999999999999996" customHeight="1" x14ac:dyDescent="0.25">
      <c r="B39" s="304"/>
      <c r="L39" s="304"/>
      <c r="N39" s="914"/>
    </row>
    <row r="40" spans="2:14" x14ac:dyDescent="0.25">
      <c r="B40" s="304"/>
      <c r="C40" s="304"/>
      <c r="D40" s="304"/>
      <c r="E40" s="304"/>
      <c r="F40" s="304"/>
      <c r="G40" s="304"/>
      <c r="H40" s="304"/>
      <c r="I40" s="304"/>
      <c r="J40" s="304"/>
      <c r="K40" s="304"/>
      <c r="L40" s="304"/>
      <c r="N40" s="914"/>
    </row>
    <row r="41" spans="2:14" x14ac:dyDescent="0.25">
      <c r="N41" s="914"/>
    </row>
    <row r="42" spans="2:14" ht="15.6" x14ac:dyDescent="0.3">
      <c r="C42" s="85">
        <v>2</v>
      </c>
      <c r="D42" s="58" t="str">
        <f>Translations!$B$879</f>
        <v>Identification of the Aircraft Operator</v>
      </c>
      <c r="E42" s="58"/>
      <c r="F42" s="58"/>
      <c r="G42" s="58"/>
      <c r="H42" s="58"/>
      <c r="I42" s="58"/>
      <c r="J42" s="58"/>
      <c r="K42" s="58"/>
      <c r="N42" s="914"/>
    </row>
    <row r="43" spans="2:14" x14ac:dyDescent="0.25">
      <c r="N43" s="914"/>
    </row>
    <row r="44" spans="2:14" x14ac:dyDescent="0.25">
      <c r="C44" s="61" t="s">
        <v>33</v>
      </c>
      <c r="D44" s="1064" t="str">
        <f>Translations!$B$101</f>
        <v>Please enter the name of the aircraft operator:</v>
      </c>
      <c r="E44" s="1064"/>
      <c r="F44" s="1064"/>
      <c r="G44" s="1064"/>
      <c r="H44" s="979"/>
      <c r="I44" s="1053"/>
      <c r="J44" s="1054"/>
      <c r="K44" s="1055"/>
      <c r="N44" s="914"/>
    </row>
    <row r="45" spans="2:14" x14ac:dyDescent="0.25">
      <c r="B45" s="70"/>
      <c r="C45" s="59"/>
      <c r="D45" s="1046" t="str">
        <f>Translations!$B$880</f>
        <v>This name should be the legal entity carrying out the aviation activities defined in Annex I of the EU ETS Directive.</v>
      </c>
      <c r="E45" s="1046"/>
      <c r="F45" s="1046"/>
      <c r="G45" s="1046"/>
      <c r="H45" s="1046"/>
      <c r="I45" s="1047"/>
      <c r="J45" s="1047"/>
      <c r="K45" s="1047"/>
    </row>
    <row r="46" spans="2:14" ht="12.75" customHeight="1" x14ac:dyDescent="0.25">
      <c r="B46" s="70"/>
      <c r="C46" s="60" t="s">
        <v>34</v>
      </c>
      <c r="D46" s="1064" t="str">
        <f>Translations!$B$104</f>
        <v>Unique Identifier as stated in the Commission's list of aircraft operators:</v>
      </c>
      <c r="E46" s="1064"/>
      <c r="F46" s="1064"/>
      <c r="G46" s="1064"/>
      <c r="H46" s="1064"/>
      <c r="I46" s="1064"/>
      <c r="J46" s="1064"/>
      <c r="K46" s="1064"/>
    </row>
    <row r="47" spans="2:14" ht="38.25" customHeight="1" x14ac:dyDescent="0.25">
      <c r="B47" s="70"/>
      <c r="C47" s="59"/>
      <c r="D47" s="1046" t="str">
        <f>Translations!$B$1107</f>
        <v>This identifier can be found on the list published by the Commission pursuant to Article 18a(3) of the EU ETS Directive. If the aircraft operator is not yet listed, please state "NA" (not applicable).</v>
      </c>
      <c r="E47" s="1046"/>
      <c r="F47" s="1046"/>
      <c r="G47" s="1046"/>
      <c r="H47" s="1046"/>
      <c r="I47" s="1069"/>
      <c r="J47" s="1070"/>
      <c r="K47" s="1071"/>
    </row>
    <row r="49" spans="2:13" ht="27" customHeight="1" x14ac:dyDescent="0.25">
      <c r="B49" s="70"/>
      <c r="C49" s="61" t="s">
        <v>46</v>
      </c>
      <c r="D49" s="1064" t="str">
        <f>Translations!$B$113</f>
        <v>If different to the name given in 2(a), please also enter the name of the aircraft operator as it appears on the Commission's list of operators:</v>
      </c>
      <c r="E49" s="1064"/>
      <c r="F49" s="1064"/>
      <c r="G49" s="1064"/>
      <c r="H49" s="1064"/>
      <c r="I49" s="1064"/>
      <c r="J49" s="1064"/>
      <c r="K49" s="1064"/>
    </row>
    <row r="50" spans="2:13" ht="33.75" customHeight="1" x14ac:dyDescent="0.25">
      <c r="B50" s="70"/>
      <c r="C50" s="59"/>
      <c r="D50" s="1046" t="str">
        <f>Translations!$B$1108</f>
        <v>The name of the aircraft operator on the list pursuant to Article 18a(3) of the EU ETS Directive may be different to the actual aircraft operator's name entered in 2(a) above. Keep empty, if not applicable.</v>
      </c>
      <c r="E50" s="1046"/>
      <c r="F50" s="1046"/>
      <c r="G50" s="1046"/>
      <c r="H50" s="1046"/>
      <c r="I50" s="1069"/>
      <c r="J50" s="1070"/>
      <c r="K50" s="1071"/>
    </row>
    <row r="52" spans="2:13" ht="29.25" customHeight="1" x14ac:dyDescent="0.25">
      <c r="B52" s="70"/>
      <c r="C52" s="61" t="s">
        <v>47</v>
      </c>
      <c r="D52" s="1064" t="str">
        <f>Translations!$B$115</f>
        <v>Please enter the unique ICAO designator used in the call sign for Air Traffic Control (ATC) purposes, where available:</v>
      </c>
      <c r="E52" s="1064"/>
      <c r="F52" s="1064"/>
      <c r="G52" s="1064"/>
      <c r="H52" s="1064"/>
      <c r="I52" s="1064"/>
      <c r="J52" s="1064"/>
      <c r="K52" s="1064"/>
    </row>
    <row r="53" spans="2:13" ht="20.25" customHeight="1" x14ac:dyDescent="0.25">
      <c r="C53" s="59"/>
      <c r="D53" s="1046" t="str">
        <f>Translations!$B$881</f>
        <v>The ICAO designator should be that specified in box 7 of the ICAO flight plan (excluding the flight identification) as specified in ICAO document 8585.  If you do not specify an ICAO designator in flight plans, please select "n.a." from the drop-down list and proceed to 2(e).</v>
      </c>
      <c r="E53" s="1046"/>
      <c r="F53" s="1046"/>
      <c r="G53" s="1046"/>
      <c r="H53" s="1046"/>
      <c r="I53" s="1053"/>
      <c r="J53" s="1054"/>
      <c r="K53" s="1055"/>
    </row>
    <row r="54" spans="2:13" ht="31.5" customHeight="1" x14ac:dyDescent="0.25">
      <c r="C54" s="59"/>
      <c r="D54" s="1046"/>
      <c r="E54" s="1046"/>
      <c r="F54" s="1046"/>
      <c r="G54" s="1046"/>
      <c r="H54" s="1046"/>
    </row>
    <row r="55" spans="2:13" ht="27.75" customHeight="1" x14ac:dyDescent="0.25">
      <c r="B55" s="70"/>
      <c r="C55" s="61" t="s">
        <v>48</v>
      </c>
      <c r="D55" s="1064" t="str">
        <f>Translations!$B$117</f>
        <v>Where a unique ICAO designator for ATC purposes is not available, please provide the aircraft registration markings used in the call sign for ATC purposes for the aircraft you operate.</v>
      </c>
      <c r="E55" s="1064"/>
      <c r="F55" s="1064"/>
      <c r="G55" s="1064"/>
      <c r="H55" s="1064"/>
      <c r="I55" s="1064"/>
      <c r="J55" s="1064"/>
      <c r="K55" s="1064"/>
      <c r="M55" s="124" t="s">
        <v>49</v>
      </c>
    </row>
    <row r="56" spans="2:13" ht="51.75" customHeight="1" x14ac:dyDescent="0.25">
      <c r="B56" s="70"/>
      <c r="C56" s="59"/>
      <c r="D56" s="1046" t="str">
        <f>Translations!$B$882</f>
        <v>If a unique ICAO designator is not available, enter the identification for ATC purposes (tail numbers) of all the aircraft you operate as used in box 7 of the flight plan.  Please separate each registration with a semicolon (";"). Otherwise enter "n.a." and proceed.</v>
      </c>
      <c r="E56" s="1066"/>
      <c r="F56" s="1066"/>
      <c r="G56" s="1066"/>
      <c r="H56" s="1067"/>
      <c r="I56" s="1053"/>
      <c r="J56" s="1076"/>
      <c r="K56" s="1077"/>
      <c r="M56" s="122" t="b">
        <f>IF($I$53="",FALSE,IF($I$53=Euconst_NA,FALSE,TRUE))</f>
        <v>0</v>
      </c>
    </row>
    <row r="58" spans="2:13" x14ac:dyDescent="0.25">
      <c r="C58" s="61" t="s">
        <v>42</v>
      </c>
      <c r="D58" s="1065" t="str">
        <f>Translations!$B$120</f>
        <v>Please enter the administering Member State of the aircraft operator</v>
      </c>
      <c r="E58" s="1065"/>
      <c r="F58" s="1065"/>
      <c r="G58" s="1065"/>
      <c r="H58" s="1065"/>
      <c r="I58" s="1065"/>
      <c r="J58" s="1065"/>
      <c r="K58" s="1065"/>
    </row>
    <row r="59" spans="2:13" x14ac:dyDescent="0.25">
      <c r="C59" s="62"/>
      <c r="D59" s="1046" t="str">
        <f>Translations!$B$121</f>
        <v>pursuant to Art. 18a of the Directive.</v>
      </c>
      <c r="E59" s="1046"/>
      <c r="F59" s="1046"/>
      <c r="G59" s="1046"/>
      <c r="H59" s="1046"/>
      <c r="I59" s="1053"/>
      <c r="J59" s="1054"/>
      <c r="K59" s="1055"/>
    </row>
    <row r="60" spans="2:13" x14ac:dyDescent="0.25">
      <c r="C60" s="62"/>
      <c r="D60" s="63"/>
      <c r="E60" s="63"/>
      <c r="F60" s="63"/>
      <c r="G60" s="63"/>
      <c r="H60" s="63"/>
      <c r="I60" s="64"/>
      <c r="J60" s="64"/>
      <c r="K60" s="64"/>
    </row>
    <row r="61" spans="2:13" x14ac:dyDescent="0.25">
      <c r="C61" s="61" t="s">
        <v>43</v>
      </c>
      <c r="D61" s="1080" t="str">
        <f>Translations!$B$122</f>
        <v>Competent authority in this Member State:</v>
      </c>
      <c r="E61" s="1080"/>
      <c r="F61" s="1080"/>
      <c r="G61" s="1080"/>
      <c r="H61" s="1080"/>
      <c r="I61" s="1053" t="s">
        <v>50</v>
      </c>
      <c r="J61" s="1054"/>
      <c r="K61" s="1055"/>
    </row>
    <row r="62" spans="2:13" ht="30.75" customHeight="1" x14ac:dyDescent="0.25">
      <c r="C62" s="62"/>
      <c r="D62" s="1046" t="str">
        <f>Translations!$B$123</f>
        <v>In some Member States there is more than one Competent Authority dealing with the EU ETS for aircraft operators. Please enter the name of the appropriate authority, if applicable. Otherwise choose "n.a.".</v>
      </c>
      <c r="E62" s="1046"/>
      <c r="F62" s="1046"/>
      <c r="G62" s="1046"/>
      <c r="H62" s="1046"/>
      <c r="I62" s="1047"/>
      <c r="J62" s="1047"/>
      <c r="K62" s="1047"/>
    </row>
    <row r="63" spans="2:13" ht="25.5" customHeight="1" x14ac:dyDescent="0.25">
      <c r="C63" s="61" t="s">
        <v>45</v>
      </c>
      <c r="D63" s="1065" t="str">
        <f>Translations!$B$124</f>
        <v>Please enter the number and issuing authority of the Air Operator Certificate (AOC) and Operating Licence granted by a Member State if available:</v>
      </c>
      <c r="E63" s="1065"/>
      <c r="F63" s="1065"/>
      <c r="G63" s="1065"/>
      <c r="H63" s="1065"/>
      <c r="I63" s="1065"/>
      <c r="J63" s="1065"/>
      <c r="K63" s="1065"/>
    </row>
    <row r="64" spans="2:13" ht="13.35" customHeight="1" x14ac:dyDescent="0.25">
      <c r="C64" s="59"/>
      <c r="D64" s="1061" t="str">
        <f>Translations!$B$1109</f>
        <v>If you don't find the appropriate name of the issueing authority in the drop-down list, you can enter ist name like in a normal text field.</v>
      </c>
      <c r="E64" s="1061"/>
      <c r="F64" s="1061"/>
      <c r="G64" s="1061"/>
      <c r="H64" s="1061"/>
      <c r="I64" s="1061"/>
      <c r="J64" s="1061"/>
      <c r="K64" s="1061"/>
    </row>
    <row r="65" spans="3:11" x14ac:dyDescent="0.25">
      <c r="C65" s="65"/>
      <c r="F65" s="60" t="str">
        <f>Translations!$B$125</f>
        <v>Air Operator Certificate:</v>
      </c>
      <c r="H65" s="112"/>
      <c r="I65" s="1053"/>
      <c r="J65" s="1054"/>
      <c r="K65" s="1055"/>
    </row>
    <row r="66" spans="3:11" x14ac:dyDescent="0.25">
      <c r="F66" s="60" t="str">
        <f>Translations!$B$126</f>
        <v>AOC Issuing authority:</v>
      </c>
      <c r="H66" s="112"/>
      <c r="I66" s="1053"/>
      <c r="J66" s="1054"/>
      <c r="K66" s="1055"/>
    </row>
    <row r="67" spans="3:11" x14ac:dyDescent="0.25">
      <c r="C67" s="65"/>
      <c r="F67" s="60" t="str">
        <f>Translations!$B$127</f>
        <v>Operating Licence:</v>
      </c>
      <c r="H67" s="112"/>
      <c r="I67" s="1053"/>
      <c r="J67" s="1054"/>
      <c r="K67" s="1055"/>
    </row>
    <row r="68" spans="3:11" x14ac:dyDescent="0.25">
      <c r="F68" s="60" t="str">
        <f>Translations!$B$128</f>
        <v>Issuing authority:</v>
      </c>
      <c r="H68" s="112"/>
      <c r="I68" s="1053"/>
      <c r="J68" s="1054"/>
      <c r="K68" s="1055"/>
    </row>
    <row r="69" spans="3:11" x14ac:dyDescent="0.25">
      <c r="C69" s="65"/>
      <c r="G69" s="66"/>
      <c r="H69" s="112"/>
      <c r="I69" s="64"/>
      <c r="J69" s="64"/>
      <c r="K69" s="64"/>
    </row>
    <row r="70" spans="3:11" ht="15.75" customHeight="1" x14ac:dyDescent="0.25">
      <c r="C70" s="64" t="s">
        <v>51</v>
      </c>
      <c r="D70" s="1065" t="str">
        <f>Translations!$B$129</f>
        <v>Please enter the address of the aircraft operator, including postcode and country:</v>
      </c>
      <c r="E70" s="1065"/>
      <c r="F70" s="1065"/>
      <c r="G70" s="1065"/>
      <c r="H70" s="1065"/>
      <c r="I70" s="1065"/>
      <c r="J70" s="1065"/>
      <c r="K70" s="1065"/>
    </row>
    <row r="71" spans="3:11" x14ac:dyDescent="0.25">
      <c r="C71" s="65"/>
      <c r="D71" s="63"/>
      <c r="E71" s="63"/>
      <c r="F71" s="60" t="str">
        <f>Translations!$B$130</f>
        <v>Address Line 1</v>
      </c>
      <c r="H71" s="112"/>
      <c r="I71" s="1053"/>
      <c r="J71" s="1054"/>
      <c r="K71" s="1055"/>
    </row>
    <row r="72" spans="3:11" x14ac:dyDescent="0.25">
      <c r="C72" s="65"/>
      <c r="D72" s="63"/>
      <c r="E72" s="63"/>
      <c r="F72" s="60" t="str">
        <f>Translations!$B$131</f>
        <v>Address Line 2</v>
      </c>
      <c r="H72" s="112"/>
      <c r="I72" s="1053"/>
      <c r="J72" s="1054"/>
      <c r="K72" s="1055"/>
    </row>
    <row r="73" spans="3:11" x14ac:dyDescent="0.25">
      <c r="C73" s="65"/>
      <c r="D73" s="63"/>
      <c r="E73" s="63"/>
      <c r="F73" s="60" t="str">
        <f>Translations!$B$132</f>
        <v>City</v>
      </c>
      <c r="H73" s="112"/>
      <c r="I73" s="1053"/>
      <c r="J73" s="1054"/>
      <c r="K73" s="1055"/>
    </row>
    <row r="74" spans="3:11" x14ac:dyDescent="0.25">
      <c r="C74" s="65"/>
      <c r="D74" s="63"/>
      <c r="E74" s="63"/>
      <c r="F74" s="60" t="str">
        <f>Translations!$B$133</f>
        <v>State/Province/Region</v>
      </c>
      <c r="H74" s="112"/>
      <c r="I74" s="1053"/>
      <c r="J74" s="1054"/>
      <c r="K74" s="1055"/>
    </row>
    <row r="75" spans="3:11" x14ac:dyDescent="0.25">
      <c r="C75" s="65"/>
      <c r="D75" s="59"/>
      <c r="E75" s="59"/>
      <c r="F75" s="60" t="str">
        <f>Translations!$B$134</f>
        <v>Postcode/ZIP</v>
      </c>
      <c r="H75" s="112"/>
      <c r="I75" s="1053"/>
      <c r="J75" s="1054"/>
      <c r="K75" s="1055"/>
    </row>
    <row r="76" spans="3:11" x14ac:dyDescent="0.25">
      <c r="C76" s="65"/>
      <c r="D76" s="59"/>
      <c r="E76" s="59"/>
      <c r="F76" s="60" t="str">
        <f>Translations!$B$135</f>
        <v>Country</v>
      </c>
      <c r="H76" s="112"/>
      <c r="I76" s="1053"/>
      <c r="J76" s="1054"/>
      <c r="K76" s="1055"/>
    </row>
    <row r="77" spans="3:11" x14ac:dyDescent="0.25">
      <c r="C77" s="65"/>
      <c r="D77" s="59"/>
      <c r="E77" s="59"/>
      <c r="F77" s="60" t="str">
        <f>Translations!$B$883</f>
        <v>Telephone Number:</v>
      </c>
      <c r="H77" s="112"/>
      <c r="I77" s="1053"/>
      <c r="J77" s="1054"/>
      <c r="K77" s="1055"/>
    </row>
    <row r="78" spans="3:11" x14ac:dyDescent="0.25">
      <c r="C78" s="65"/>
      <c r="D78" s="59"/>
      <c r="E78" s="59"/>
      <c r="F78" s="60" t="str">
        <f>Translations!$B$136</f>
        <v>Email address</v>
      </c>
      <c r="H78" s="112"/>
      <c r="I78" s="1053"/>
      <c r="J78" s="1054"/>
      <c r="K78" s="1055"/>
    </row>
    <row r="79" spans="3:11" x14ac:dyDescent="0.25">
      <c r="C79" s="65"/>
      <c r="G79" s="66"/>
      <c r="H79" s="112"/>
      <c r="I79" s="64"/>
      <c r="J79" s="64"/>
      <c r="K79" s="64"/>
    </row>
    <row r="80" spans="3:11" x14ac:dyDescent="0.25">
      <c r="C80" s="61" t="s">
        <v>52</v>
      </c>
      <c r="D80" s="1045" t="str">
        <f>Translations!$B$884</f>
        <v>Who can we contact about your annual emission report?</v>
      </c>
      <c r="E80" s="1045"/>
      <c r="F80" s="1045"/>
      <c r="G80" s="1045"/>
      <c r="H80" s="1045"/>
      <c r="I80" s="1045"/>
      <c r="J80" s="1045"/>
      <c r="K80" s="1045"/>
    </row>
    <row r="81" spans="2:11" ht="26.25" customHeight="1" x14ac:dyDescent="0.25">
      <c r="C81" s="59"/>
      <c r="D81" s="1061" t="str">
        <f>Translations!$B$885</f>
        <v>It will help the competent authority to have someone who they can contact directly with any questions about your report. The person you name should have the authority to act on your behalf. This may be an agent acting on behalf of the aircraft operator.</v>
      </c>
      <c r="E81" s="1061"/>
      <c r="F81" s="1061"/>
      <c r="G81" s="1061"/>
      <c r="H81" s="1061"/>
      <c r="I81" s="1061"/>
      <c r="J81" s="1061"/>
      <c r="K81" s="1061"/>
    </row>
    <row r="82" spans="2:11" x14ac:dyDescent="0.25">
      <c r="C82" s="59"/>
      <c r="E82" s="59"/>
      <c r="F82" s="61" t="str">
        <f>Translations!$B$151</f>
        <v>Title:</v>
      </c>
      <c r="I82" s="1053"/>
      <c r="J82" s="1054"/>
      <c r="K82" s="1055"/>
    </row>
    <row r="83" spans="2:11" x14ac:dyDescent="0.25">
      <c r="C83" s="59"/>
      <c r="E83" s="59"/>
      <c r="F83" s="61" t="str">
        <f>Translations!$B$152</f>
        <v>First Name:</v>
      </c>
      <c r="I83" s="1053"/>
      <c r="J83" s="1054"/>
      <c r="K83" s="1055"/>
    </row>
    <row r="84" spans="2:11" x14ac:dyDescent="0.25">
      <c r="C84" s="59"/>
      <c r="E84" s="59"/>
      <c r="F84" s="61" t="str">
        <f>Translations!$B$153</f>
        <v>Surname:</v>
      </c>
      <c r="I84" s="1053"/>
      <c r="J84" s="1054"/>
      <c r="K84" s="1055"/>
    </row>
    <row r="85" spans="2:11" x14ac:dyDescent="0.25">
      <c r="C85" s="59"/>
      <c r="E85" s="59"/>
      <c r="F85" s="61" t="str">
        <f>Translations!$B$154</f>
        <v>Job title:</v>
      </c>
      <c r="I85" s="1053"/>
      <c r="J85" s="1054"/>
      <c r="K85" s="1055"/>
    </row>
    <row r="86" spans="2:11" x14ac:dyDescent="0.25">
      <c r="C86" s="59"/>
      <c r="E86" s="59"/>
      <c r="F86" s="61" t="str">
        <f>Translations!$B$155</f>
        <v>Organisation name (if acting on behalf of the aircraft operator):</v>
      </c>
      <c r="H86" s="59"/>
    </row>
    <row r="87" spans="2:11" x14ac:dyDescent="0.25">
      <c r="C87" s="67"/>
      <c r="E87" s="68"/>
      <c r="F87" s="60"/>
      <c r="I87" s="1053"/>
      <c r="J87" s="1054"/>
      <c r="K87" s="1055"/>
    </row>
    <row r="88" spans="2:11" x14ac:dyDescent="0.25">
      <c r="C88" s="59"/>
      <c r="E88" s="59"/>
      <c r="F88" s="61" t="str">
        <f>Translations!$B$156</f>
        <v>Telephone number:</v>
      </c>
      <c r="I88" s="1053"/>
      <c r="J88" s="1054"/>
      <c r="K88" s="1055"/>
    </row>
    <row r="89" spans="2:11" x14ac:dyDescent="0.25">
      <c r="C89" s="67"/>
      <c r="E89" s="59"/>
      <c r="F89" s="61" t="str">
        <f>Translations!$B$157</f>
        <v>Email address:</v>
      </c>
      <c r="I89" s="1053"/>
      <c r="J89" s="1054"/>
      <c r="K89" s="1055"/>
    </row>
    <row r="90" spans="2:11" x14ac:dyDescent="0.25">
      <c r="C90" s="65"/>
      <c r="G90" s="66"/>
      <c r="H90" s="112"/>
      <c r="I90" s="64"/>
      <c r="J90" s="64"/>
      <c r="K90" s="64"/>
    </row>
    <row r="91" spans="2:11" x14ac:dyDescent="0.25">
      <c r="C91" s="61" t="s">
        <v>53</v>
      </c>
      <c r="D91" s="61" t="str">
        <f>Translations!$B$159</f>
        <v>Please provide an address for receipt of correspondence</v>
      </c>
    </row>
    <row r="92" spans="2:11" ht="27" customHeight="1" x14ac:dyDescent="0.25">
      <c r="B92" s="70"/>
      <c r="C92" s="71"/>
      <c r="D92" s="1044" t="str">
        <f>Translations!$B$886</f>
        <v>You must provide an address for receipt of notices or other documents under or in connection with the EU Greenhouse Gas Emissions Trading Scheme. Please provide an electronic address and a postal address within the administering Member State.</v>
      </c>
      <c r="E92" s="1044"/>
      <c r="F92" s="1044"/>
      <c r="G92" s="1044"/>
      <c r="H92" s="1044"/>
      <c r="I92" s="1044"/>
      <c r="J92" s="1044"/>
      <c r="K92" s="1044"/>
    </row>
    <row r="93" spans="2:11" x14ac:dyDescent="0.25">
      <c r="C93" s="72"/>
      <c r="F93" s="61" t="str">
        <f>Translations!$B$151</f>
        <v>Title:</v>
      </c>
      <c r="I93" s="1053"/>
      <c r="J93" s="1054"/>
      <c r="K93" s="1055"/>
    </row>
    <row r="94" spans="2:11" x14ac:dyDescent="0.25">
      <c r="C94" s="72"/>
      <c r="D94" s="61"/>
      <c r="E94" s="59"/>
      <c r="F94" s="61" t="str">
        <f>Translations!$B$152</f>
        <v>First Name:</v>
      </c>
      <c r="I94" s="1053"/>
      <c r="J94" s="1054"/>
      <c r="K94" s="1055"/>
    </row>
    <row r="95" spans="2:11" x14ac:dyDescent="0.25">
      <c r="C95" s="72"/>
      <c r="D95" s="61"/>
      <c r="E95" s="59"/>
      <c r="F95" s="61" t="str">
        <f>Translations!$B$153</f>
        <v>Surname:</v>
      </c>
      <c r="I95" s="1053"/>
      <c r="J95" s="1054"/>
      <c r="K95" s="1055"/>
    </row>
    <row r="96" spans="2:11" x14ac:dyDescent="0.25">
      <c r="C96" s="73"/>
      <c r="E96" s="59"/>
      <c r="F96" s="61" t="str">
        <f>Translations!$B$157</f>
        <v>Email address:</v>
      </c>
      <c r="I96" s="1053"/>
      <c r="J96" s="1054"/>
      <c r="K96" s="1055"/>
    </row>
    <row r="97" spans="2:12" x14ac:dyDescent="0.25">
      <c r="C97" s="59"/>
      <c r="E97" s="59"/>
      <c r="F97" s="61" t="str">
        <f>Translations!$B$156</f>
        <v>Telephone number:</v>
      </c>
      <c r="I97" s="1053"/>
      <c r="J97" s="1054"/>
      <c r="K97" s="1055"/>
    </row>
    <row r="98" spans="2:12" x14ac:dyDescent="0.25">
      <c r="C98" s="72"/>
      <c r="F98" s="74" t="str">
        <f>Translations!$B$162</f>
        <v>Address Line 1:</v>
      </c>
      <c r="H98" s="74"/>
      <c r="I98" s="1053"/>
      <c r="J98" s="1054"/>
      <c r="K98" s="1055"/>
    </row>
    <row r="99" spans="2:12" x14ac:dyDescent="0.25">
      <c r="C99" s="75"/>
      <c r="F99" s="74" t="str">
        <f>Translations!$B$163</f>
        <v>Address Line 2:</v>
      </c>
      <c r="H99" s="74"/>
      <c r="I99" s="1053"/>
      <c r="J99" s="1054"/>
      <c r="K99" s="1055"/>
    </row>
    <row r="100" spans="2:12" x14ac:dyDescent="0.25">
      <c r="C100" s="75"/>
      <c r="F100" s="74" t="str">
        <f>Translations!$B$164</f>
        <v>City:</v>
      </c>
      <c r="H100" s="74"/>
      <c r="I100" s="1053"/>
      <c r="J100" s="1054"/>
      <c r="K100" s="1055"/>
    </row>
    <row r="101" spans="2:12" x14ac:dyDescent="0.25">
      <c r="C101" s="75"/>
      <c r="F101" s="74" t="str">
        <f>Translations!$B$165</f>
        <v>State/Province/Region:</v>
      </c>
      <c r="H101" s="74"/>
      <c r="I101" s="1053"/>
      <c r="J101" s="1054"/>
      <c r="K101" s="1055"/>
    </row>
    <row r="102" spans="2:12" x14ac:dyDescent="0.25">
      <c r="C102" s="75"/>
      <c r="F102" s="74" t="str">
        <f>Translations!$B$166</f>
        <v>Postcode/ZIP:</v>
      </c>
      <c r="H102" s="74"/>
      <c r="I102" s="1053"/>
      <c r="J102" s="1054"/>
      <c r="K102" s="1055"/>
    </row>
    <row r="103" spans="2:12" x14ac:dyDescent="0.25">
      <c r="C103" s="75"/>
      <c r="F103" s="74" t="str">
        <f>Translations!$B$167</f>
        <v>Country:</v>
      </c>
      <c r="H103" s="74"/>
      <c r="I103" s="1053"/>
      <c r="J103" s="1054"/>
      <c r="K103" s="1055"/>
    </row>
    <row r="104" spans="2:12" x14ac:dyDescent="0.25">
      <c r="C104" s="75"/>
      <c r="G104" s="74"/>
      <c r="H104" s="74"/>
      <c r="I104" s="120"/>
      <c r="J104" s="120"/>
      <c r="K104" s="120"/>
    </row>
    <row r="105" spans="2:12" ht="5.0999999999999996" customHeight="1" x14ac:dyDescent="0.25">
      <c r="B105" s="304"/>
      <c r="C105" s="305"/>
      <c r="D105" s="304"/>
      <c r="E105" s="304"/>
      <c r="F105" s="304"/>
      <c r="G105" s="306"/>
      <c r="H105" s="306"/>
      <c r="I105" s="307"/>
      <c r="J105" s="307"/>
      <c r="K105" s="307"/>
      <c r="L105" s="304"/>
    </row>
    <row r="106" spans="2:12" x14ac:dyDescent="0.25">
      <c r="B106" s="304"/>
      <c r="C106" s="61" t="s">
        <v>54</v>
      </c>
      <c r="D106" s="180" t="str">
        <f>Translations!$B$1110</f>
        <v>Legal representative of the aircraft operator</v>
      </c>
      <c r="E106"/>
      <c r="F106"/>
      <c r="G106"/>
      <c r="H106"/>
      <c r="I106"/>
      <c r="J106"/>
      <c r="K106"/>
      <c r="L106" s="304"/>
    </row>
    <row r="107" spans="2:12" ht="25.5" customHeight="1" x14ac:dyDescent="0.25">
      <c r="B107" s="304"/>
      <c r="C107" s="75"/>
      <c r="D107" s="1052" t="str">
        <f>Translations!$B$1111</f>
        <v>Please provide contact information of a representative who is legally responsible for the aircraft operator, for the purpose of compliance with the EU ETS, or CORSIA rules, as applicable.</v>
      </c>
      <c r="E107" s="1052"/>
      <c r="F107" s="1052"/>
      <c r="G107" s="1052"/>
      <c r="H107" s="1052"/>
      <c r="I107" s="1052"/>
      <c r="J107" s="1052"/>
      <c r="K107" s="1052"/>
      <c r="L107" s="304"/>
    </row>
    <row r="108" spans="2:12" x14ac:dyDescent="0.25">
      <c r="B108" s="304"/>
      <c r="C108" s="75"/>
      <c r="D108"/>
      <c r="E108"/>
      <c r="F108"/>
      <c r="G108" s="180" t="str">
        <f>Translations!$B$151</f>
        <v>Title:</v>
      </c>
      <c r="H108" s="10"/>
      <c r="I108" s="1048"/>
      <c r="J108" s="1049"/>
      <c r="K108" s="1050"/>
      <c r="L108" s="304"/>
    </row>
    <row r="109" spans="2:12" x14ac:dyDescent="0.25">
      <c r="B109" s="304"/>
      <c r="C109" s="75"/>
      <c r="D109" s="180"/>
      <c r="E109" s="7"/>
      <c r="F109"/>
      <c r="G109" s="180" t="str">
        <f>Translations!$B$152</f>
        <v>First Name:</v>
      </c>
      <c r="H109" s="10"/>
      <c r="I109" s="1048"/>
      <c r="J109" s="1049"/>
      <c r="K109" s="1050"/>
      <c r="L109" s="304"/>
    </row>
    <row r="110" spans="2:12" x14ac:dyDescent="0.25">
      <c r="B110" s="304"/>
      <c r="C110" s="75"/>
      <c r="D110" s="180"/>
      <c r="E110" s="7"/>
      <c r="F110"/>
      <c r="G110" s="180" t="str">
        <f>Translations!$B$153</f>
        <v>Surname:</v>
      </c>
      <c r="H110" s="10"/>
      <c r="I110" s="1048"/>
      <c r="J110" s="1049"/>
      <c r="K110" s="1050"/>
      <c r="L110" s="304"/>
    </row>
    <row r="111" spans="2:12" x14ac:dyDescent="0.25">
      <c r="B111" s="304"/>
      <c r="C111" s="75"/>
      <c r="D111"/>
      <c r="E111" s="7"/>
      <c r="F111"/>
      <c r="G111" s="180" t="str">
        <f>Translations!$B$157</f>
        <v>Email address:</v>
      </c>
      <c r="H111" s="10"/>
      <c r="I111" s="1048"/>
      <c r="J111" s="1049"/>
      <c r="K111" s="1050"/>
      <c r="L111" s="304"/>
    </row>
    <row r="112" spans="2:12" x14ac:dyDescent="0.25">
      <c r="B112" s="304"/>
      <c r="C112" s="75"/>
      <c r="D112"/>
      <c r="E112" s="7"/>
      <c r="F112" s="7"/>
      <c r="G112" s="180" t="str">
        <f>Translations!$B$156</f>
        <v>Telephone number:</v>
      </c>
      <c r="H112"/>
      <c r="I112" s="1048"/>
      <c r="J112" s="1049"/>
      <c r="K112" s="1050"/>
      <c r="L112" s="304"/>
    </row>
    <row r="113" spans="2:12" x14ac:dyDescent="0.25">
      <c r="B113" s="304"/>
      <c r="C113" s="75"/>
      <c r="D113"/>
      <c r="E113"/>
      <c r="F113"/>
      <c r="G113" s="19" t="str">
        <f>Translations!$B$162</f>
        <v>Address Line 1:</v>
      </c>
      <c r="H113" s="19"/>
      <c r="I113" s="1048"/>
      <c r="J113" s="1049"/>
      <c r="K113" s="1050"/>
      <c r="L113" s="304"/>
    </row>
    <row r="114" spans="2:12" x14ac:dyDescent="0.25">
      <c r="B114" s="304"/>
      <c r="C114" s="75"/>
      <c r="D114"/>
      <c r="E114"/>
      <c r="F114"/>
      <c r="G114" s="19" t="str">
        <f>Translations!$B$163</f>
        <v>Address Line 2:</v>
      </c>
      <c r="H114" s="19"/>
      <c r="I114" s="1048"/>
      <c r="J114" s="1049"/>
      <c r="K114" s="1050"/>
      <c r="L114" s="304"/>
    </row>
    <row r="115" spans="2:12" x14ac:dyDescent="0.25">
      <c r="B115" s="304"/>
      <c r="C115" s="75"/>
      <c r="D115"/>
      <c r="E115"/>
      <c r="F115"/>
      <c r="G115" s="19" t="str">
        <f>Translations!$B$164</f>
        <v>City:</v>
      </c>
      <c r="H115" s="19"/>
      <c r="I115" s="1048"/>
      <c r="J115" s="1049"/>
      <c r="K115" s="1050"/>
      <c r="L115" s="304"/>
    </row>
    <row r="116" spans="2:12" x14ac:dyDescent="0.25">
      <c r="B116" s="304"/>
      <c r="C116" s="75"/>
      <c r="D116"/>
      <c r="E116"/>
      <c r="F116"/>
      <c r="G116" s="19" t="str">
        <f>Translations!$B$165</f>
        <v>State/Province/Region:</v>
      </c>
      <c r="H116" s="19"/>
      <c r="I116" s="1048"/>
      <c r="J116" s="1049"/>
      <c r="K116" s="1050"/>
      <c r="L116" s="304"/>
    </row>
    <row r="117" spans="2:12" x14ac:dyDescent="0.25">
      <c r="B117" s="304"/>
      <c r="C117" s="75"/>
      <c r="D117"/>
      <c r="E117"/>
      <c r="F117"/>
      <c r="G117" s="19" t="str">
        <f>Translations!$B$166</f>
        <v>Postcode/ZIP:</v>
      </c>
      <c r="H117" s="19"/>
      <c r="I117" s="1048"/>
      <c r="J117" s="1049"/>
      <c r="K117" s="1050"/>
      <c r="L117" s="304"/>
    </row>
    <row r="118" spans="2:12" x14ac:dyDescent="0.25">
      <c r="B118" s="304"/>
      <c r="C118" s="75"/>
      <c r="D118"/>
      <c r="E118"/>
      <c r="F118"/>
      <c r="G118" s="19" t="str">
        <f>Translations!$B$167</f>
        <v>Country:</v>
      </c>
      <c r="H118" s="19"/>
      <c r="I118" s="1048"/>
      <c r="J118" s="1049"/>
      <c r="K118" s="1050"/>
      <c r="L118" s="304"/>
    </row>
    <row r="119" spans="2:12" ht="5.0999999999999996" customHeight="1" x14ac:dyDescent="0.25">
      <c r="B119" s="304"/>
      <c r="C119" s="305"/>
      <c r="D119" s="304"/>
      <c r="E119" s="304"/>
      <c r="F119" s="304"/>
      <c r="G119" s="306"/>
      <c r="H119" s="306"/>
      <c r="I119" s="307"/>
      <c r="J119" s="307"/>
      <c r="K119" s="307"/>
      <c r="L119" s="304"/>
    </row>
    <row r="120" spans="2:12" x14ac:dyDescent="0.25">
      <c r="C120" s="75"/>
      <c r="G120" s="74"/>
      <c r="H120" s="74"/>
      <c r="I120" s="120"/>
      <c r="J120" s="120"/>
      <c r="K120" s="120"/>
    </row>
    <row r="121" spans="2:12" ht="15.6" x14ac:dyDescent="0.3">
      <c r="C121" s="85">
        <v>3</v>
      </c>
      <c r="D121" s="58" t="str">
        <f>Translations!$B$842</f>
        <v>Identification of the verifier</v>
      </c>
      <c r="E121" s="58"/>
      <c r="F121" s="58"/>
      <c r="G121" s="58"/>
      <c r="H121" s="58"/>
      <c r="I121" s="58"/>
      <c r="J121" s="58"/>
      <c r="K121" s="58"/>
    </row>
    <row r="122" spans="2:12" ht="38.25" customHeight="1" x14ac:dyDescent="0.25">
      <c r="C122" s="1044" t="str">
        <f>Translations!$B$1350</f>
        <v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D122" s="1044"/>
      <c r="E122" s="1044"/>
      <c r="F122" s="1044"/>
      <c r="G122" s="1044"/>
      <c r="H122" s="1044"/>
      <c r="I122" s="1044"/>
      <c r="J122" s="1044"/>
      <c r="K122" s="1044"/>
    </row>
    <row r="123" spans="2:12" ht="38.25" customHeight="1" x14ac:dyDescent="0.25">
      <c r="C123" s="1044"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D123" s="1044"/>
      <c r="E123" s="1044"/>
      <c r="F123" s="1044"/>
      <c r="G123" s="1044"/>
      <c r="H123" s="1044"/>
      <c r="I123" s="1044"/>
      <c r="J123" s="1044"/>
      <c r="K123" s="1044"/>
    </row>
    <row r="124" spans="2:12" ht="12.75" customHeight="1" x14ac:dyDescent="0.25">
      <c r="C124" s="1044" t="str">
        <f>Translations!$B$1112</f>
        <v>Where small emitters make use of this simplification, this section can be left empty.</v>
      </c>
      <c r="D124" s="1044"/>
      <c r="E124" s="1044"/>
      <c r="F124" s="1044"/>
      <c r="G124" s="1044"/>
      <c r="H124" s="1044"/>
      <c r="I124" s="1044"/>
      <c r="J124" s="1044"/>
      <c r="K124" s="1044"/>
    </row>
    <row r="125" spans="2:12" x14ac:dyDescent="0.25">
      <c r="C125" s="78" t="s">
        <v>33</v>
      </c>
      <c r="D125" s="121" t="str">
        <f>Translations!$B$1113</f>
        <v>Name and address of the verifier of your annual emission report</v>
      </c>
      <c r="E125" s="78"/>
      <c r="F125" s="78"/>
      <c r="G125" s="66"/>
      <c r="H125" s="112"/>
      <c r="I125" s="64"/>
      <c r="J125" s="64"/>
      <c r="K125" s="64"/>
    </row>
    <row r="126" spans="2:12" x14ac:dyDescent="0.25">
      <c r="C126" s="72"/>
      <c r="D126" s="61"/>
      <c r="E126" s="59"/>
      <c r="F126" s="61" t="str">
        <f>Translations!$B$888</f>
        <v>Company Name:</v>
      </c>
      <c r="I126" s="1053"/>
      <c r="J126" s="1054"/>
      <c r="K126" s="1055"/>
    </row>
    <row r="127" spans="2:12" x14ac:dyDescent="0.25">
      <c r="C127" s="72"/>
      <c r="F127" s="74" t="str">
        <f>Translations!$B$162</f>
        <v>Address Line 1:</v>
      </c>
      <c r="H127" s="74"/>
      <c r="I127" s="1053"/>
      <c r="J127" s="1054"/>
      <c r="K127" s="1055"/>
    </row>
    <row r="128" spans="2:12" x14ac:dyDescent="0.25">
      <c r="C128" s="75"/>
      <c r="F128" s="74" t="str">
        <f>Translations!$B$163</f>
        <v>Address Line 2:</v>
      </c>
      <c r="H128" s="74"/>
      <c r="I128" s="1053"/>
      <c r="J128" s="1054"/>
      <c r="K128" s="1055"/>
    </row>
    <row r="129" spans="3:11" x14ac:dyDescent="0.25">
      <c r="C129" s="75"/>
      <c r="F129" s="74" t="str">
        <f>Translations!$B$164</f>
        <v>City:</v>
      </c>
      <c r="H129" s="74"/>
      <c r="I129" s="1053"/>
      <c r="J129" s="1054"/>
      <c r="K129" s="1055"/>
    </row>
    <row r="130" spans="3:11" x14ac:dyDescent="0.25">
      <c r="C130" s="75"/>
      <c r="F130" s="74" t="str">
        <f>Translations!$B$165</f>
        <v>State/Province/Region:</v>
      </c>
      <c r="H130" s="74"/>
      <c r="I130" s="1053"/>
      <c r="J130" s="1054"/>
      <c r="K130" s="1055"/>
    </row>
    <row r="131" spans="3:11" x14ac:dyDescent="0.25">
      <c r="C131" s="75"/>
      <c r="F131" s="74" t="str">
        <f>Translations!$B$166</f>
        <v>Postcode/ZIP:</v>
      </c>
      <c r="H131" s="74"/>
      <c r="I131" s="1053"/>
      <c r="J131" s="1054"/>
      <c r="K131" s="1055"/>
    </row>
    <row r="132" spans="3:11" x14ac:dyDescent="0.25">
      <c r="C132" s="75"/>
      <c r="F132" s="74" t="str">
        <f>Translations!$B$167</f>
        <v>Country:</v>
      </c>
      <c r="H132" s="74"/>
      <c r="I132" s="1053"/>
      <c r="J132" s="1054"/>
      <c r="K132" s="1055"/>
    </row>
    <row r="133" spans="3:11" x14ac:dyDescent="0.25">
      <c r="C133" s="121"/>
      <c r="D133" s="78"/>
      <c r="E133" s="78"/>
      <c r="F133" s="78"/>
      <c r="G133" s="66"/>
      <c r="H133" s="112"/>
      <c r="I133" s="69"/>
      <c r="J133" s="69"/>
      <c r="K133" s="69"/>
    </row>
    <row r="134" spans="3:11" x14ac:dyDescent="0.25">
      <c r="C134" s="78" t="s">
        <v>34</v>
      </c>
      <c r="D134" s="78" t="str">
        <f>Translations!$B$1114</f>
        <v>Contact person for the accredited verifier:</v>
      </c>
      <c r="E134" s="78"/>
      <c r="F134" s="78"/>
      <c r="G134" s="66"/>
      <c r="H134" s="112"/>
      <c r="I134" s="69"/>
      <c r="J134" s="69"/>
      <c r="K134" s="69"/>
    </row>
    <row r="135" spans="3:11" ht="24" customHeight="1" x14ac:dyDescent="0.25">
      <c r="C135" s="75"/>
      <c r="D135" s="1044" t="str">
        <f>Translations!$B$890</f>
        <v>It will help the competent authority to have someone who they can contact directly with any questions about verification of your report. The person you name should be familiar with this report.</v>
      </c>
      <c r="E135" s="1044"/>
      <c r="F135" s="1044"/>
      <c r="G135" s="1044"/>
      <c r="H135" s="1044"/>
      <c r="I135" s="1044"/>
      <c r="J135" s="1044"/>
      <c r="K135" s="1044"/>
    </row>
    <row r="136" spans="3:11" x14ac:dyDescent="0.25">
      <c r="F136" s="61" t="str">
        <f>Translations!$B$151</f>
        <v>Title:</v>
      </c>
      <c r="I136" s="1053"/>
      <c r="J136" s="1054"/>
      <c r="K136" s="1055"/>
    </row>
    <row r="137" spans="3:11" x14ac:dyDescent="0.25">
      <c r="F137" s="61" t="str">
        <f>Translations!$B$152</f>
        <v>First Name:</v>
      </c>
      <c r="I137" s="1053"/>
      <c r="J137" s="1054"/>
      <c r="K137" s="1055"/>
    </row>
    <row r="138" spans="3:11" x14ac:dyDescent="0.25">
      <c r="C138" s="75"/>
      <c r="F138" s="61" t="str">
        <f>Translations!$B$153</f>
        <v>Surname:</v>
      </c>
      <c r="I138" s="1053"/>
      <c r="J138" s="1054"/>
      <c r="K138" s="1055"/>
    </row>
    <row r="139" spans="3:11" x14ac:dyDescent="0.25">
      <c r="C139" s="73"/>
      <c r="E139" s="59"/>
      <c r="F139" s="61" t="str">
        <f>Translations!$B$157</f>
        <v>Email address:</v>
      </c>
      <c r="I139" s="1053"/>
      <c r="J139" s="1054"/>
      <c r="K139" s="1055"/>
    </row>
    <row r="140" spans="3:11" x14ac:dyDescent="0.25">
      <c r="C140" s="73"/>
      <c r="E140" s="59"/>
      <c r="F140" s="61" t="str">
        <f>Translations!$B$156</f>
        <v>Telephone number:</v>
      </c>
      <c r="I140" s="1053"/>
      <c r="J140" s="1054"/>
      <c r="K140" s="1055"/>
    </row>
    <row r="141" spans="3:11" x14ac:dyDescent="0.25">
      <c r="C141" s="121"/>
      <c r="D141" s="78"/>
      <c r="E141" s="78"/>
      <c r="F141" s="78"/>
      <c r="G141" s="66"/>
      <c r="H141" s="112"/>
      <c r="I141" s="69"/>
      <c r="J141" s="69"/>
      <c r="K141" s="69"/>
    </row>
    <row r="142" spans="3:11" x14ac:dyDescent="0.25">
      <c r="C142" s="78" t="s">
        <v>35</v>
      </c>
      <c r="D142" s="78" t="str">
        <f>Translations!$B$1115</f>
        <v>Information about the verifier's accreditation:</v>
      </c>
      <c r="E142" s="78"/>
      <c r="F142" s="78"/>
      <c r="G142" s="66"/>
      <c r="H142" s="112"/>
      <c r="I142" s="69"/>
      <c r="J142" s="69"/>
      <c r="K142" s="69"/>
    </row>
    <row r="143" spans="3:11" ht="24" customHeight="1" x14ac:dyDescent="0.25">
      <c r="C143" s="75"/>
      <c r="D143" s="1044" t="str">
        <f>Translations!$B$1352</f>
        <v>Note that pursuant to Article 55(2) of the "AVR" (Accreditation and Verification Regulation; Commission Implementing Regulation (EU) 2018/2067), a Member State may choose to entrust certification of natural persons as verifiers to a national authority other than the national accreditation body.</v>
      </c>
      <c r="E143" s="1044"/>
      <c r="F143" s="1044"/>
      <c r="G143" s="1044"/>
      <c r="H143" s="1044"/>
      <c r="I143" s="1044"/>
      <c r="J143" s="1044"/>
      <c r="K143" s="1044"/>
    </row>
    <row r="144" spans="3:11" ht="12.75" customHeight="1" x14ac:dyDescent="0.25">
      <c r="C144" s="75"/>
      <c r="D144" s="1044" t="str">
        <f>Translations!$B$893</f>
        <v>In such cases, "accreditation" should be read as "certification", and "accreditation body" as "national authority".</v>
      </c>
      <c r="E144" s="1044"/>
      <c r="F144" s="1044"/>
      <c r="G144" s="1044"/>
      <c r="H144" s="1044"/>
      <c r="I144" s="1044"/>
      <c r="J144" s="1044"/>
      <c r="K144" s="1044"/>
    </row>
    <row r="145" spans="2:11" x14ac:dyDescent="0.25">
      <c r="C145" s="73"/>
      <c r="D145" s="60" t="str">
        <f>Translations!$B$894</f>
        <v>Member State where accreditation has been granted:</v>
      </c>
      <c r="E145" s="13"/>
      <c r="F145" s="13"/>
      <c r="G145" s="13"/>
      <c r="H145" s="13"/>
      <c r="I145" s="1053"/>
      <c r="J145" s="1054"/>
      <c r="K145" s="1055"/>
    </row>
    <row r="146" spans="2:11" x14ac:dyDescent="0.25">
      <c r="C146" s="73"/>
      <c r="D146" s="78" t="str">
        <f>Translations!$B$895</f>
        <v>Registration number issued by the accreditation body:</v>
      </c>
      <c r="E146" s="59"/>
      <c r="G146" s="61"/>
      <c r="I146" s="1053"/>
      <c r="J146" s="1054"/>
      <c r="K146" s="1055"/>
    </row>
    <row r="147" spans="2:11" ht="12.75" customHeight="1" x14ac:dyDescent="0.25">
      <c r="C147" s="78"/>
      <c r="D147" s="1044" t="str">
        <f>Translations!$B$896</f>
        <v>The availability of such registration information may depend on the accrediting Member State's practice of accreditation of verifiers.</v>
      </c>
      <c r="E147" s="1044"/>
      <c r="F147" s="1044"/>
      <c r="G147" s="1044"/>
      <c r="H147" s="1044"/>
      <c r="I147" s="1044"/>
      <c r="J147" s="1044"/>
      <c r="K147" s="1044"/>
    </row>
    <row r="148" spans="2:11" x14ac:dyDescent="0.25">
      <c r="C148" s="78"/>
      <c r="D148" s="61"/>
      <c r="E148" s="59"/>
      <c r="F148" s="59"/>
      <c r="I148" s="69"/>
      <c r="J148" s="69"/>
      <c r="K148" s="69"/>
    </row>
    <row r="149" spans="2:11" x14ac:dyDescent="0.25">
      <c r="C149" s="78"/>
      <c r="D149" s="1062" t="str">
        <f>Translations!$B$897</f>
        <v>&lt;&lt;&lt; Click here to proceed to section 4 "Information about the monitoring plan" &gt;&gt;&gt;</v>
      </c>
      <c r="E149" s="1062"/>
      <c r="F149" s="1062"/>
      <c r="G149" s="1062"/>
      <c r="H149" s="1062"/>
      <c r="I149" s="1063"/>
      <c r="J149" s="1063"/>
    </row>
    <row r="157" spans="2:11" ht="15.6" x14ac:dyDescent="0.3">
      <c r="B157" s="76"/>
    </row>
  </sheetData>
  <sheetProtection sheet="1" objects="1" scenarios="1" formatCells="0" formatColumns="0" formatRows="0" insertColumns="0" insertRows="0"/>
  <mergeCells count="113">
    <mergeCell ref="C3:K3"/>
    <mergeCell ref="I50:K50"/>
    <mergeCell ref="D50:H50"/>
    <mergeCell ref="D49:K49"/>
    <mergeCell ref="I44:K44"/>
    <mergeCell ref="D7:H7"/>
    <mergeCell ref="I7:K7"/>
    <mergeCell ref="D8:K8"/>
    <mergeCell ref="I77:K77"/>
    <mergeCell ref="D45:K45"/>
    <mergeCell ref="D46:K46"/>
    <mergeCell ref="I47:K47"/>
    <mergeCell ref="I56:K56"/>
    <mergeCell ref="I61:K61"/>
    <mergeCell ref="D59:H59"/>
    <mergeCell ref="D14:K14"/>
    <mergeCell ref="D61:H61"/>
    <mergeCell ref="D63:K63"/>
    <mergeCell ref="I74:K74"/>
    <mergeCell ref="D62:K62"/>
    <mergeCell ref="I68:K68"/>
    <mergeCell ref="I71:K71"/>
    <mergeCell ref="I75:K75"/>
    <mergeCell ref="I76:K76"/>
    <mergeCell ref="I131:K131"/>
    <mergeCell ref="I130:K130"/>
    <mergeCell ref="I101:K101"/>
    <mergeCell ref="C122:K122"/>
    <mergeCell ref="D147:K147"/>
    <mergeCell ref="I78:K78"/>
    <mergeCell ref="D58:K58"/>
    <mergeCell ref="I59:K59"/>
    <mergeCell ref="D44:H44"/>
    <mergeCell ref="I72:K72"/>
    <mergeCell ref="I73:K73"/>
    <mergeCell ref="I117:K117"/>
    <mergeCell ref="I118:K118"/>
    <mergeCell ref="I99:K99"/>
    <mergeCell ref="C123:K123"/>
    <mergeCell ref="C124:K124"/>
    <mergeCell ref="D144:K144"/>
    <mergeCell ref="D81:K81"/>
    <mergeCell ref="I83:K83"/>
    <mergeCell ref="I84:K84"/>
    <mergeCell ref="I96:K96"/>
    <mergeCell ref="I115:K115"/>
    <mergeCell ref="I116:K116"/>
    <mergeCell ref="I113:K113"/>
    <mergeCell ref="D149:J149"/>
    <mergeCell ref="D52:K52"/>
    <mergeCell ref="D53:H54"/>
    <mergeCell ref="D55:K55"/>
    <mergeCell ref="D70:K70"/>
    <mergeCell ref="I67:K67"/>
    <mergeCell ref="D56:H56"/>
    <mergeCell ref="I132:K132"/>
    <mergeCell ref="I126:K126"/>
    <mergeCell ref="I65:K65"/>
    <mergeCell ref="I145:K145"/>
    <mergeCell ref="I128:K128"/>
    <mergeCell ref="I129:K129"/>
    <mergeCell ref="I103:K103"/>
    <mergeCell ref="I102:K102"/>
    <mergeCell ref="I137:K137"/>
    <mergeCell ref="I138:K138"/>
    <mergeCell ref="I146:K146"/>
    <mergeCell ref="D135:K135"/>
    <mergeCell ref="I127:K127"/>
    <mergeCell ref="I139:K139"/>
    <mergeCell ref="I140:K140"/>
    <mergeCell ref="I136:K136"/>
    <mergeCell ref="D143:K143"/>
    <mergeCell ref="I114:K114"/>
    <mergeCell ref="D32:J32"/>
    <mergeCell ref="D34:H34"/>
    <mergeCell ref="I34:K34"/>
    <mergeCell ref="D36:K36"/>
    <mergeCell ref="D38:I38"/>
    <mergeCell ref="I93:K93"/>
    <mergeCell ref="I88:K88"/>
    <mergeCell ref="I100:K100"/>
    <mergeCell ref="I85:K85"/>
    <mergeCell ref="I89:K89"/>
    <mergeCell ref="I82:K82"/>
    <mergeCell ref="I97:K97"/>
    <mergeCell ref="I94:K94"/>
    <mergeCell ref="I95:K95"/>
    <mergeCell ref="I98:K98"/>
    <mergeCell ref="D64:K64"/>
    <mergeCell ref="I53:K53"/>
    <mergeCell ref="D17:L17"/>
    <mergeCell ref="D19:L19"/>
    <mergeCell ref="D80:K80"/>
    <mergeCell ref="D10:J10"/>
    <mergeCell ref="D11:K11"/>
    <mergeCell ref="I109:K109"/>
    <mergeCell ref="I110:K110"/>
    <mergeCell ref="I111:K111"/>
    <mergeCell ref="I112:K112"/>
    <mergeCell ref="D23:K23"/>
    <mergeCell ref="D30:J30"/>
    <mergeCell ref="D25:K25"/>
    <mergeCell ref="D27:K27"/>
    <mergeCell ref="D28:K28"/>
    <mergeCell ref="D107:K107"/>
    <mergeCell ref="D47:H47"/>
    <mergeCell ref="I66:K66"/>
    <mergeCell ref="I87:K87"/>
    <mergeCell ref="I108:K108"/>
    <mergeCell ref="D92:K92"/>
    <mergeCell ref="J13:K13"/>
    <mergeCell ref="D18:K18"/>
    <mergeCell ref="D26:K26"/>
  </mergeCells>
  <conditionalFormatting sqref="B105:L119">
    <cfRule type="expression" dxfId="72" priority="5" stopIfTrue="1">
      <formula>CONTR_CORSIAapplied=FALSE</formula>
    </cfRule>
  </conditionalFormatting>
  <conditionalFormatting sqref="D55:D56">
    <cfRule type="expression" dxfId="71" priority="14" stopIfTrue="1">
      <formula>$M$56</formula>
    </cfRule>
  </conditionalFormatting>
  <conditionalFormatting sqref="I34:K34">
    <cfRule type="expression" dxfId="70" priority="6" stopIfTrue="1">
      <formula>$M$34=TRUE</formula>
    </cfRule>
  </conditionalFormatting>
  <conditionalFormatting sqref="I56:K56">
    <cfRule type="expression" dxfId="69" priority="16" stopIfTrue="1">
      <formula>$M$56</formula>
    </cfRule>
  </conditionalFormatting>
  <conditionalFormatting sqref="K32">
    <cfRule type="expression" dxfId="68" priority="7" stopIfTrue="1">
      <formula>$M$32=TRUE</formula>
    </cfRule>
  </conditionalFormatting>
  <dataValidations count="11">
    <dataValidation type="list" allowBlank="1" showInputMessage="1" showErrorMessage="1" sqref="I7:K7" xr:uid="{00000000-0002-0000-0200-000000000000}">
      <formula1>ReportingYears</formula1>
    </dataValidation>
    <dataValidation type="list" allowBlank="1" showInputMessage="1" showErrorMessage="1" sqref="I53:K53 I56" xr:uid="{00000000-0002-0000-0200-000001000000}">
      <formula1>notapplicable</formula1>
    </dataValidation>
    <dataValidation type="list" allowBlank="1" showInputMessage="1" showErrorMessage="1" sqref="I61:K61" xr:uid="{00000000-0002-0000-0200-000002000000}">
      <formula1>CompetentAuthorities</formula1>
    </dataValidation>
    <dataValidation type="list" allowBlank="1" showInputMessage="1" showErrorMessage="1" sqref="I66:K66 I68:K68" xr:uid="{00000000-0002-0000-0200-000003000000}">
      <formula1>aviationauthorities</formula1>
    </dataValidation>
    <dataValidation type="list" allowBlank="1" showInputMessage="1" showErrorMessage="1" sqref="I136:K136 I93:K93 I82 I108:K108" xr:uid="{00000000-0002-0000-0200-000004000000}">
      <formula1>Title</formula1>
    </dataValidation>
    <dataValidation type="list" allowBlank="1" showInputMessage="1" showErrorMessage="1" sqref="I145:K145" xr:uid="{00000000-0002-0000-0200-000005000000}">
      <formula1>MemberStatesWithSwiss</formula1>
    </dataValidation>
    <dataValidation type="list" allowBlank="1" showInputMessage="1" showErrorMessage="1" sqref="I118:K118 I132:K132 I76:K76 I103:K103" xr:uid="{00000000-0002-0000-0200-000006000000}">
      <formula1>worldcountries</formula1>
    </dataValidation>
    <dataValidation type="list" allowBlank="1" showInputMessage="1" showErrorMessage="1" sqref="K38 K30 K32 K16" xr:uid="{00000000-0002-0000-0200-000007000000}">
      <formula1>TrueFalse</formula1>
    </dataValidation>
    <dataValidation type="list" allowBlank="1" showInputMessage="1" showErrorMessage="1" sqref="J13:K13" xr:uid="{00000000-0002-0000-0200-000008000000}">
      <formula1>MSLanguages</formula1>
    </dataValidation>
    <dataValidation type="list" allowBlank="1" showInputMessage="1" showErrorMessage="1" sqref="I59:K59" xr:uid="{00000000-0002-0000-0200-000009000000}">
      <formula1>memberstates</formula1>
    </dataValidation>
    <dataValidation type="list" allowBlank="1" showInputMessage="1" showErrorMessage="1" sqref="I34:K34" xr:uid="{00000000-0002-0000-0200-00000A000000}">
      <formula1>ICAO_MSList</formula1>
    </dataValidation>
  </dataValidations>
  <hyperlinks>
    <hyperlink ref="D149:H149" location="'Emissions overview'!A1" display="&lt;&lt;&lt; Click here to proceed to section 4 &quot;Information about the monitoring plan&quot; &gt;&gt;&gt;" xr:uid="{00000000-0004-0000-0200-000000000000}"/>
  </hyperlinks>
  <pageMargins left="0.78740157480314965" right="0.78740157480314965" top="0.78740157480314965" bottom="0.78740157480314965" header="0.39370078740157483" footer="0.39370078740157483"/>
  <pageSetup paperSize="9" scale="72" fitToHeight="2" orientation="portrait" r:id="rId1"/>
  <headerFooter alignWithMargins="0">
    <oddFooter>&amp;L&amp;F&amp;C&amp;A&amp;R&amp;P / &amp;N</oddFooter>
  </headerFooter>
  <rowBreaks count="1" manualBreakCount="1">
    <brk id="7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AF311"/>
  <sheetViews>
    <sheetView showGridLines="0" topLeftCell="B16" zoomScale="110" zoomScaleNormal="110" zoomScaleSheetLayoutView="140" workbookViewId="0">
      <selection activeCell="J150" sqref="J150"/>
    </sheetView>
  </sheetViews>
  <sheetFormatPr defaultColWidth="11.44140625" defaultRowHeight="13.2" x14ac:dyDescent="0.25"/>
  <cols>
    <col min="1" max="1" width="3.6640625" style="124" hidden="1" customWidth="1"/>
    <col min="2" max="2" width="3.6640625" style="68" customWidth="1"/>
    <col min="3" max="3" width="4.6640625" style="68" customWidth="1"/>
    <col min="4" max="18" width="12.5546875" style="68" customWidth="1"/>
    <col min="19" max="20" width="3.6640625" style="68" customWidth="1"/>
    <col min="21" max="22" width="12.5546875" style="124" hidden="1" customWidth="1"/>
    <col min="23" max="29" width="11.44140625" style="124" hidden="1" customWidth="1"/>
    <col min="30" max="30" width="3.6640625" style="124" hidden="1" customWidth="1"/>
    <col min="31" max="31" width="12.5546875" style="914" customWidth="1"/>
    <col min="32" max="32" width="11.44140625" style="312"/>
    <col min="33" max="16384" width="11.44140625" style="68"/>
  </cols>
  <sheetData>
    <row r="1" spans="1:32" s="124" customFormat="1" hidden="1" x14ac:dyDescent="0.25">
      <c r="A1" s="124" t="s">
        <v>38</v>
      </c>
      <c r="U1" s="124" t="s">
        <v>38</v>
      </c>
      <c r="V1" s="124" t="s">
        <v>38</v>
      </c>
      <c r="W1" s="124" t="s">
        <v>38</v>
      </c>
      <c r="X1" s="124" t="s">
        <v>38</v>
      </c>
      <c r="Y1" s="124" t="s">
        <v>38</v>
      </c>
      <c r="Z1" s="124" t="s">
        <v>38</v>
      </c>
      <c r="AA1" s="124" t="s">
        <v>38</v>
      </c>
      <c r="AB1" s="124" t="s">
        <v>38</v>
      </c>
      <c r="AC1" s="124" t="s">
        <v>38</v>
      </c>
      <c r="AD1" s="124" t="s">
        <v>38</v>
      </c>
      <c r="AE1" s="913"/>
      <c r="AF1" s="661"/>
    </row>
    <row r="2" spans="1:32" x14ac:dyDescent="0.25">
      <c r="C2" s="111"/>
      <c r="F2" s="125"/>
      <c r="G2" s="125"/>
    </row>
    <row r="3" spans="1:32" ht="23.25" customHeight="1" x14ac:dyDescent="0.25">
      <c r="C3" s="1068" t="str">
        <f>Translations!$B$898</f>
        <v>EMISSION DATA OVERVIEW</v>
      </c>
      <c r="D3" s="1068"/>
      <c r="E3" s="1068"/>
      <c r="F3" s="1068"/>
      <c r="G3" s="1068"/>
      <c r="H3" s="1068"/>
      <c r="I3" s="1068"/>
      <c r="J3" s="1068"/>
      <c r="K3" s="1068"/>
      <c r="L3" s="575"/>
      <c r="M3" s="575"/>
      <c r="U3" s="126" t="s">
        <v>55</v>
      </c>
    </row>
    <row r="4" spans="1:32" x14ac:dyDescent="0.25">
      <c r="U4" s="127" t="s">
        <v>56</v>
      </c>
      <c r="AE4" s="914" t="s">
        <v>1959</v>
      </c>
    </row>
    <row r="5" spans="1:32" ht="15.6" x14ac:dyDescent="0.25">
      <c r="C5" s="103">
        <v>4</v>
      </c>
      <c r="D5" s="1081" t="str">
        <f>Translations!$B$843</f>
        <v>Information about the monitoring plan</v>
      </c>
      <c r="E5" s="1081"/>
      <c r="F5" s="1081"/>
      <c r="G5" s="1081"/>
      <c r="H5" s="1081"/>
      <c r="I5" s="1081"/>
      <c r="J5" s="1081"/>
      <c r="K5" s="1081"/>
      <c r="L5" s="960"/>
      <c r="M5" s="960"/>
      <c r="N5" s="960"/>
      <c r="O5" s="960"/>
      <c r="P5" s="960"/>
      <c r="Q5" s="960"/>
      <c r="R5" s="960"/>
      <c r="AE5" s="914" t="s">
        <v>1960</v>
      </c>
    </row>
    <row r="6" spans="1:32" ht="25.5" customHeight="1" x14ac:dyDescent="0.25">
      <c r="C6" s="113"/>
      <c r="D6" s="1119" t="str">
        <f>Translations!$B$1262</f>
        <v>Note: it is assumed, that one joint monitoring plan for the EU ETS, the CH ETS and CORSIA is used.</v>
      </c>
      <c r="E6" s="1119"/>
      <c r="F6" s="1119"/>
      <c r="G6" s="1119"/>
      <c r="H6" s="1119"/>
      <c r="I6" s="1119"/>
      <c r="J6" s="1119"/>
      <c r="K6" s="1119"/>
      <c r="L6" s="960"/>
      <c r="M6" s="960"/>
      <c r="N6" s="960"/>
      <c r="O6" s="960"/>
      <c r="P6" s="960"/>
      <c r="Q6" s="960"/>
      <c r="R6" s="917"/>
      <c r="AE6" s="914" t="s">
        <v>2033</v>
      </c>
    </row>
    <row r="7" spans="1:32" ht="12.75" customHeight="1" x14ac:dyDescent="0.25">
      <c r="C7" s="61" t="s">
        <v>33</v>
      </c>
      <c r="D7" s="1065" t="str">
        <f>Translations!$B$899</f>
        <v>Version number of the latest approved monitoring plan:</v>
      </c>
      <c r="E7" s="1129"/>
      <c r="F7" s="1129"/>
      <c r="G7" s="1129"/>
      <c r="H7" s="1156"/>
      <c r="I7" s="1069"/>
      <c r="J7" s="1070"/>
      <c r="K7" s="1070"/>
      <c r="L7" s="1161"/>
      <c r="M7" s="1093"/>
      <c r="AF7" s="312" t="s">
        <v>2100</v>
      </c>
    </row>
    <row r="8" spans="1:32" ht="5.0999999999999996" customHeight="1" x14ac:dyDescent="0.25">
      <c r="C8" s="67"/>
      <c r="D8" s="61"/>
      <c r="E8" s="59"/>
      <c r="F8" s="59"/>
    </row>
    <row r="9" spans="1:32" ht="12.75" customHeight="1" x14ac:dyDescent="0.25">
      <c r="C9" s="61" t="s">
        <v>34</v>
      </c>
      <c r="D9" s="1065" t="str">
        <f>Translations!$B$900</f>
        <v>Date of approval of the used monitoring plan:</v>
      </c>
      <c r="E9" s="1129"/>
      <c r="F9" s="1129"/>
      <c r="G9" s="1129"/>
      <c r="H9" s="1156"/>
      <c r="I9" s="1069"/>
      <c r="J9" s="1070"/>
      <c r="K9" s="1070"/>
      <c r="L9" s="1161"/>
      <c r="M9" s="1093"/>
    </row>
    <row r="10" spans="1:32" x14ac:dyDescent="0.25">
      <c r="C10" s="113"/>
      <c r="G10" s="112"/>
      <c r="H10" s="112"/>
      <c r="J10" s="128"/>
    </row>
    <row r="11" spans="1:32" ht="17.25" customHeight="1" x14ac:dyDescent="0.25">
      <c r="C11" s="61" t="s">
        <v>35</v>
      </c>
      <c r="D11" s="1065" t="str">
        <f>Translations!$B$901</f>
        <v>Have there been any deviations from your approved monitoring plan during the reporting year?</v>
      </c>
      <c r="E11" s="1129"/>
      <c r="F11" s="1129"/>
      <c r="G11" s="1129"/>
      <c r="H11" s="1129"/>
      <c r="I11" s="1129"/>
      <c r="J11" s="1129"/>
      <c r="K11" s="1129"/>
      <c r="L11" s="53"/>
      <c r="M11" s="53"/>
      <c r="U11" s="124" t="s">
        <v>57</v>
      </c>
    </row>
    <row r="12" spans="1:32" x14ac:dyDescent="0.25">
      <c r="C12" s="61"/>
      <c r="H12" s="114"/>
      <c r="I12" s="1069"/>
      <c r="J12" s="1070"/>
      <c r="K12" s="1070"/>
      <c r="L12" s="1161"/>
      <c r="M12" s="1093"/>
      <c r="U12" s="122" t="str">
        <f>IF(ISBLANK(I12),"",I12=FALSE)</f>
        <v/>
      </c>
    </row>
    <row r="13" spans="1:32" ht="5.0999999999999996" customHeight="1" x14ac:dyDescent="0.25">
      <c r="C13" s="113"/>
      <c r="G13" s="112"/>
      <c r="H13" s="112"/>
      <c r="J13" s="128"/>
    </row>
    <row r="14" spans="1:32" ht="39.6" customHeight="1" x14ac:dyDescent="0.25">
      <c r="C14" s="61" t="s">
        <v>36</v>
      </c>
      <c r="D14" s="1176" t="str">
        <f>Translations!$B$902</f>
        <v>If you have answered "True", please describe all relevant changes in the operations and all deviations from your approved monitoring plan, providing information about each deviation and the consequence for the calculation of annual emissions.</v>
      </c>
      <c r="E14" s="1176"/>
      <c r="F14" s="1176"/>
      <c r="G14" s="1176"/>
      <c r="H14" s="1176"/>
      <c r="I14" s="1176"/>
      <c r="J14" s="1176"/>
      <c r="K14" s="1176"/>
      <c r="L14" s="1171"/>
      <c r="M14" s="1171"/>
    </row>
    <row r="15" spans="1:32" ht="25.5" customHeight="1" x14ac:dyDescent="0.25">
      <c r="C15" s="61"/>
      <c r="D15" s="1162"/>
      <c r="E15" s="1163"/>
      <c r="F15" s="1163"/>
      <c r="G15" s="1163"/>
      <c r="H15" s="1163"/>
      <c r="I15" s="1163"/>
      <c r="J15" s="1163"/>
      <c r="K15" s="1163"/>
      <c r="L15" s="1164"/>
      <c r="M15" s="1165"/>
    </row>
    <row r="16" spans="1:32" ht="25.5" customHeight="1" x14ac:dyDescent="0.25">
      <c r="C16" s="61"/>
      <c r="D16" s="1166"/>
      <c r="E16" s="1167"/>
      <c r="F16" s="1167"/>
      <c r="G16" s="1167"/>
      <c r="H16" s="1167"/>
      <c r="I16" s="1167"/>
      <c r="J16" s="1167"/>
      <c r="K16" s="1167"/>
      <c r="L16" s="960"/>
      <c r="M16" s="1168"/>
    </row>
    <row r="17" spans="1:32" ht="25.5" customHeight="1" x14ac:dyDescent="0.25">
      <c r="C17" s="61"/>
      <c r="D17" s="1169"/>
      <c r="E17" s="1170"/>
      <c r="F17" s="1170"/>
      <c r="G17" s="1170"/>
      <c r="H17" s="1170"/>
      <c r="I17" s="1170"/>
      <c r="J17" s="1170"/>
      <c r="K17" s="1170"/>
      <c r="L17" s="1171"/>
      <c r="M17" s="1172"/>
    </row>
    <row r="18" spans="1:32" ht="15" customHeight="1" x14ac:dyDescent="0.25"/>
    <row r="19" spans="1:32" ht="15.6" x14ac:dyDescent="0.25">
      <c r="C19" s="103">
        <v>5</v>
      </c>
      <c r="D19" s="1081" t="str">
        <f>Translations!$B$1263</f>
        <v>Total emissions in EU ETS and CH ETS</v>
      </c>
      <c r="E19" s="960"/>
      <c r="F19" s="960"/>
      <c r="G19" s="960"/>
      <c r="H19" s="960"/>
      <c r="I19" s="960"/>
      <c r="J19" s="960"/>
      <c r="K19" s="960"/>
      <c r="L19" s="960"/>
      <c r="M19" s="960"/>
      <c r="N19" s="960"/>
      <c r="O19" s="960"/>
      <c r="P19" s="960"/>
      <c r="Q19" s="960"/>
      <c r="R19" s="960"/>
    </row>
    <row r="20" spans="1:32" ht="25.5" customHeight="1" x14ac:dyDescent="0.25">
      <c r="C20" s="60"/>
      <c r="D20" s="1157" t="str">
        <f>Translations!$B$1264</f>
        <v>For limiting administrative burden, this sections (a) and (b) should cover emissions of both systems, EU ETS and CH ETS.</v>
      </c>
      <c r="E20" s="1157"/>
      <c r="F20" s="1157"/>
      <c r="G20" s="1157"/>
      <c r="H20" s="1157"/>
      <c r="I20" s="1157"/>
      <c r="J20" s="1157"/>
      <c r="K20" s="1157"/>
      <c r="L20" s="1158"/>
      <c r="M20" s="1158"/>
      <c r="N20" s="1158"/>
      <c r="O20" s="1158"/>
      <c r="P20" s="1158"/>
      <c r="Q20" s="1158"/>
      <c r="R20" s="921"/>
    </row>
    <row r="21" spans="1:32" x14ac:dyDescent="0.25">
      <c r="C21" s="60" t="s">
        <v>33</v>
      </c>
      <c r="D21" s="1130" t="str">
        <f>Translations!$B$1265</f>
        <v>Total number of flights in the reporting year:</v>
      </c>
      <c r="E21" s="1129"/>
      <c r="F21" s="1129"/>
      <c r="G21" s="1129"/>
      <c r="H21" s="1129"/>
      <c r="I21" s="1129"/>
      <c r="J21" s="1129"/>
    </row>
    <row r="22" spans="1:32" x14ac:dyDescent="0.25">
      <c r="C22" s="68" t="s">
        <v>58</v>
      </c>
      <c r="D22" s="1129" t="str">
        <f>Translations!$B$903</f>
        <v>Total number of flights in the reporting year covered by the EU ETS:</v>
      </c>
      <c r="E22" s="1129"/>
      <c r="F22" s="1129"/>
      <c r="G22" s="1129"/>
      <c r="H22" s="1129"/>
      <c r="I22" s="1129"/>
      <c r="J22" s="1129"/>
      <c r="K22" s="59"/>
      <c r="L22" s="1173"/>
      <c r="M22" s="1165"/>
    </row>
    <row r="23" spans="1:32" ht="4.95" customHeight="1" x14ac:dyDescent="0.25">
      <c r="B23" s="484"/>
      <c r="C23" s="484"/>
      <c r="D23" s="486"/>
      <c r="E23" s="486"/>
      <c r="F23" s="486"/>
      <c r="G23" s="486"/>
      <c r="H23" s="486"/>
      <c r="I23" s="486"/>
      <c r="J23" s="486"/>
      <c r="K23" s="484"/>
      <c r="L23" s="902"/>
      <c r="M23" s="834"/>
      <c r="N23" s="484"/>
      <c r="O23" s="484"/>
      <c r="P23" s="484"/>
      <c r="Q23" s="484"/>
      <c r="R23" s="484"/>
      <c r="S23" s="484"/>
    </row>
    <row r="24" spans="1:32" x14ac:dyDescent="0.25">
      <c r="B24" s="484"/>
      <c r="C24" s="68" t="s">
        <v>59</v>
      </c>
      <c r="D24" s="1129" t="str">
        <f>Translations!$B$1266</f>
        <v>Total number of flights in the reporting year covered by the CH ETS:</v>
      </c>
      <c r="E24" s="1129"/>
      <c r="F24" s="1129"/>
      <c r="G24" s="1129"/>
      <c r="H24" s="1129"/>
      <c r="I24" s="1129"/>
      <c r="J24" s="1129"/>
      <c r="K24" s="59"/>
      <c r="L24" s="1174"/>
      <c r="M24" s="1093"/>
      <c r="S24" s="484"/>
      <c r="T24" s="312"/>
      <c r="AE24" s="914" t="s">
        <v>1931</v>
      </c>
    </row>
    <row r="25" spans="1:32" ht="4.95" customHeight="1" x14ac:dyDescent="0.25">
      <c r="B25" s="484"/>
      <c r="C25" s="484"/>
      <c r="D25" s="486"/>
      <c r="E25" s="486"/>
      <c r="F25" s="486"/>
      <c r="G25" s="486"/>
      <c r="H25" s="486"/>
      <c r="I25" s="486"/>
      <c r="J25" s="486"/>
      <c r="K25" s="484"/>
      <c r="L25" s="903"/>
      <c r="M25" s="835"/>
      <c r="N25" s="484"/>
      <c r="O25" s="484"/>
      <c r="P25" s="484"/>
      <c r="Q25" s="484"/>
      <c r="R25" s="484"/>
      <c r="S25" s="484"/>
    </row>
    <row r="26" spans="1:32" x14ac:dyDescent="0.25">
      <c r="C26" s="68" t="s">
        <v>60</v>
      </c>
      <c r="D26" s="1130" t="str">
        <f>Translations!$B$1267</f>
        <v>Total number of flights in the reporting year covered by an ETS:</v>
      </c>
      <c r="E26" s="1129"/>
      <c r="F26" s="1129"/>
      <c r="G26" s="1129"/>
      <c r="H26" s="1129"/>
      <c r="I26" s="1129"/>
      <c r="J26" s="1129"/>
      <c r="K26" s="59"/>
      <c r="L26" s="1175">
        <f>SUM(L22:L24)</f>
        <v>0</v>
      </c>
      <c r="M26" s="1172"/>
    </row>
    <row r="27" spans="1:32" x14ac:dyDescent="0.25">
      <c r="D27" s="523"/>
      <c r="E27" s="53"/>
      <c r="F27" s="53"/>
      <c r="G27" s="53"/>
      <c r="H27" s="53"/>
      <c r="I27" s="53"/>
      <c r="J27" s="53"/>
      <c r="K27" s="59"/>
      <c r="L27" s="59"/>
      <c r="M27" s="313"/>
    </row>
    <row r="28" spans="1:32" x14ac:dyDescent="0.25">
      <c r="A28" s="654"/>
      <c r="B28" s="607"/>
      <c r="C28" s="605" t="s">
        <v>61</v>
      </c>
      <c r="D28" s="605" t="s">
        <v>62</v>
      </c>
      <c r="E28" s="607"/>
      <c r="F28" s="607"/>
      <c r="G28" s="607"/>
      <c r="H28" s="607"/>
      <c r="I28" s="607"/>
      <c r="J28" s="607"/>
      <c r="K28" s="607"/>
      <c r="L28" s="607"/>
      <c r="M28" s="607"/>
      <c r="T28" s="312"/>
      <c r="AE28" s="914" t="s">
        <v>27</v>
      </c>
    </row>
    <row r="29" spans="1:32" s="53" customFormat="1" ht="25.5" customHeight="1" x14ac:dyDescent="0.25">
      <c r="A29" s="654"/>
      <c r="B29" s="613"/>
      <c r="C29" s="613"/>
      <c r="D29" s="1115" t="s">
        <v>63</v>
      </c>
      <c r="E29" s="1115"/>
      <c r="F29" s="1115"/>
      <c r="G29" s="1115"/>
      <c r="H29" s="1115"/>
      <c r="I29" s="1115"/>
      <c r="J29" s="1115"/>
      <c r="K29" s="1115"/>
      <c r="L29" s="772"/>
      <c r="M29" s="613"/>
      <c r="R29" s="920"/>
      <c r="T29" s="312"/>
      <c r="U29" s="130"/>
      <c r="V29" s="129"/>
      <c r="W29" s="124"/>
      <c r="X29" s="124"/>
      <c r="Y29" s="124"/>
      <c r="Z29" s="124"/>
      <c r="AA29" s="124"/>
      <c r="AB29" s="124"/>
      <c r="AC29" s="124"/>
      <c r="AD29" s="124"/>
      <c r="AE29" s="914" t="s">
        <v>27</v>
      </c>
      <c r="AF29" s="312"/>
    </row>
    <row r="30" spans="1:32" s="53" customFormat="1" ht="38.25" customHeight="1" x14ac:dyDescent="0.25">
      <c r="A30" s="654"/>
      <c r="B30" s="613"/>
      <c r="C30" s="613"/>
      <c r="D30" s="773" t="s">
        <v>64</v>
      </c>
      <c r="E30" s="1131" t="s">
        <v>65</v>
      </c>
      <c r="F30" s="1131"/>
      <c r="G30" s="1131"/>
      <c r="H30" s="1131"/>
      <c r="I30" s="1131"/>
      <c r="J30" s="1131"/>
      <c r="K30" s="1131"/>
      <c r="L30" s="772"/>
      <c r="M30" s="613"/>
      <c r="R30" s="920"/>
      <c r="T30" s="312"/>
      <c r="U30" s="130"/>
      <c r="V30" s="129"/>
      <c r="W30" s="124"/>
      <c r="X30" s="124"/>
      <c r="Y30" s="124"/>
      <c r="Z30" s="124"/>
      <c r="AA30" s="124"/>
      <c r="AB30" s="124"/>
      <c r="AC30" s="124"/>
      <c r="AD30" s="124"/>
      <c r="AE30" s="914" t="s">
        <v>27</v>
      </c>
      <c r="AF30" s="312"/>
    </row>
    <row r="31" spans="1:32" s="53" customFormat="1" ht="12.75" customHeight="1" x14ac:dyDescent="0.25">
      <c r="A31" s="654"/>
      <c r="B31" s="613"/>
      <c r="C31" s="613"/>
      <c r="D31" s="773" t="s">
        <v>66</v>
      </c>
      <c r="E31" s="1131" t="s">
        <v>67</v>
      </c>
      <c r="F31" s="1131"/>
      <c r="G31" s="1131"/>
      <c r="H31" s="1131"/>
      <c r="I31" s="1131"/>
      <c r="J31" s="1131"/>
      <c r="K31" s="1131"/>
      <c r="L31" s="772"/>
      <c r="M31" s="613"/>
      <c r="R31" s="920"/>
      <c r="T31" s="312"/>
      <c r="U31" s="130"/>
      <c r="V31" s="129"/>
      <c r="W31" s="124"/>
      <c r="X31" s="124"/>
      <c r="Y31" s="124"/>
      <c r="Z31" s="124"/>
      <c r="AA31" s="124"/>
      <c r="AB31" s="124"/>
      <c r="AC31" s="124"/>
      <c r="AD31" s="124"/>
      <c r="AE31" s="914" t="s">
        <v>27</v>
      </c>
      <c r="AF31" s="312"/>
    </row>
    <row r="32" spans="1:32" s="53" customFormat="1" ht="51" customHeight="1" x14ac:dyDescent="0.25">
      <c r="A32" s="654"/>
      <c r="B32" s="613"/>
      <c r="C32" s="613"/>
      <c r="D32" s="773" t="s">
        <v>68</v>
      </c>
      <c r="E32" s="1131" t="s">
        <v>69</v>
      </c>
      <c r="F32" s="1131"/>
      <c r="G32" s="1131"/>
      <c r="H32" s="1131"/>
      <c r="I32" s="1131"/>
      <c r="J32" s="1131"/>
      <c r="K32" s="1131"/>
      <c r="L32" s="772"/>
      <c r="M32" s="613"/>
      <c r="R32" s="920"/>
      <c r="T32" s="312"/>
      <c r="U32" s="130"/>
      <c r="V32" s="129"/>
      <c r="W32" s="124"/>
      <c r="X32" s="124"/>
      <c r="Y32" s="124"/>
      <c r="Z32" s="124"/>
      <c r="AA32" s="124"/>
      <c r="AB32" s="124"/>
      <c r="AC32" s="124"/>
      <c r="AD32" s="124"/>
      <c r="AE32" s="914" t="s">
        <v>27</v>
      </c>
      <c r="AF32" s="312"/>
    </row>
    <row r="33" spans="1:32" s="53" customFormat="1" ht="38.25" customHeight="1" x14ac:dyDescent="0.25">
      <c r="A33" s="654"/>
      <c r="B33" s="613"/>
      <c r="C33" s="613"/>
      <c r="D33" s="773" t="s">
        <v>70</v>
      </c>
      <c r="E33" s="1131" t="s">
        <v>71</v>
      </c>
      <c r="F33" s="1131"/>
      <c r="G33" s="1131"/>
      <c r="H33" s="1131"/>
      <c r="I33" s="1131"/>
      <c r="J33" s="1131"/>
      <c r="K33" s="1131"/>
      <c r="L33" s="772"/>
      <c r="M33" s="613"/>
      <c r="R33" s="920"/>
      <c r="T33" s="312"/>
      <c r="U33" s="130"/>
      <c r="V33" s="129"/>
      <c r="W33" s="124"/>
      <c r="X33" s="124"/>
      <c r="Y33" s="124"/>
      <c r="Z33" s="124"/>
      <c r="AA33" s="124"/>
      <c r="AB33" s="124"/>
      <c r="AC33" s="124"/>
      <c r="AD33" s="124"/>
      <c r="AE33" s="914" t="s">
        <v>27</v>
      </c>
      <c r="AF33" s="312"/>
    </row>
    <row r="34" spans="1:32" s="53" customFormat="1" ht="25.5" customHeight="1" x14ac:dyDescent="0.25">
      <c r="A34" s="654"/>
      <c r="B34" s="613"/>
      <c r="C34" s="613"/>
      <c r="D34" s="1138" t="s">
        <v>72</v>
      </c>
      <c r="E34" s="1139"/>
      <c r="F34" s="1139"/>
      <c r="G34" s="1139"/>
      <c r="H34" s="1139"/>
      <c r="I34" s="1139"/>
      <c r="J34" s="1139"/>
      <c r="K34" s="1139"/>
      <c r="L34" s="772"/>
      <c r="M34" s="613"/>
      <c r="R34" s="920"/>
      <c r="T34" s="312"/>
      <c r="U34" s="130"/>
      <c r="V34" s="129"/>
      <c r="W34" s="124"/>
      <c r="X34" s="124"/>
      <c r="Y34" s="124"/>
      <c r="Z34" s="124"/>
      <c r="AA34" s="124"/>
      <c r="AB34" s="124"/>
      <c r="AC34" s="124"/>
      <c r="AD34" s="124"/>
      <c r="AE34" s="914" t="s">
        <v>27</v>
      </c>
      <c r="AF34" s="312"/>
    </row>
    <row r="35" spans="1:32" x14ac:dyDescent="0.25">
      <c r="A35" s="654"/>
      <c r="B35" s="607"/>
      <c r="C35" s="607"/>
      <c r="D35" s="607"/>
      <c r="E35" s="607"/>
      <c r="F35" s="607"/>
      <c r="G35" s="607"/>
      <c r="H35" s="607"/>
      <c r="I35" s="607"/>
      <c r="J35" s="607"/>
      <c r="K35" s="607"/>
      <c r="L35" s="607"/>
      <c r="M35" s="607"/>
      <c r="T35" s="312"/>
      <c r="U35" s="130"/>
      <c r="AE35" s="914" t="s">
        <v>27</v>
      </c>
    </row>
    <row r="36" spans="1:32" s="53" customFormat="1" ht="4.5" customHeight="1" x14ac:dyDescent="0.25">
      <c r="A36" s="654"/>
      <c r="B36" s="613"/>
      <c r="C36" s="613"/>
      <c r="D36" s="774"/>
      <c r="E36" s="774"/>
      <c r="F36" s="774"/>
      <c r="G36" s="774"/>
      <c r="H36" s="774"/>
      <c r="I36" s="774"/>
      <c r="J36" s="774"/>
      <c r="K36" s="774"/>
      <c r="L36" s="772"/>
      <c r="M36" s="613"/>
      <c r="R36" s="920"/>
      <c r="T36" s="312"/>
      <c r="U36" s="130"/>
      <c r="V36" s="129"/>
      <c r="W36" s="124"/>
      <c r="X36" s="124"/>
      <c r="Y36" s="124"/>
      <c r="Z36" s="124"/>
      <c r="AA36" s="124"/>
      <c r="AB36" s="124"/>
      <c r="AC36" s="124"/>
      <c r="AD36" s="124"/>
      <c r="AE36" s="914" t="s">
        <v>27</v>
      </c>
      <c r="AF36" s="312"/>
    </row>
    <row r="37" spans="1:32" ht="30.6" x14ac:dyDescent="0.25">
      <c r="A37" s="654"/>
      <c r="B37" s="775"/>
      <c r="C37" s="605"/>
      <c r="D37" s="634" t="s">
        <v>73</v>
      </c>
      <c r="E37" s="1143" t="s">
        <v>74</v>
      </c>
      <c r="F37" s="1144"/>
      <c r="G37" s="1145"/>
      <c r="H37" s="634" t="s">
        <v>75</v>
      </c>
      <c r="I37" s="634" t="s">
        <v>76</v>
      </c>
      <c r="J37" s="634" t="s">
        <v>77</v>
      </c>
      <c r="K37" s="634" t="s">
        <v>78</v>
      </c>
      <c r="L37" s="607"/>
      <c r="M37" s="607"/>
      <c r="N37" s="485"/>
      <c r="T37" s="312"/>
      <c r="U37" s="130"/>
      <c r="AE37" s="914" t="s">
        <v>27</v>
      </c>
    </row>
    <row r="38" spans="1:32" ht="13.35" customHeight="1" x14ac:dyDescent="0.25">
      <c r="A38" s="654"/>
      <c r="B38" s="775"/>
      <c r="C38" s="605"/>
      <c r="D38" s="776">
        <v>1</v>
      </c>
      <c r="E38" s="1146" t="s">
        <v>79</v>
      </c>
      <c r="F38" s="1146"/>
      <c r="G38" s="1145"/>
      <c r="H38" s="777">
        <v>3.15</v>
      </c>
      <c r="I38" s="778">
        <v>44.1</v>
      </c>
      <c r="J38" s="779">
        <v>0</v>
      </c>
      <c r="K38" s="779">
        <v>0</v>
      </c>
      <c r="L38" s="607"/>
      <c r="M38" s="607"/>
      <c r="N38" s="485"/>
      <c r="T38" s="312"/>
      <c r="U38" s="130"/>
      <c r="AE38" s="914" t="s">
        <v>27</v>
      </c>
    </row>
    <row r="39" spans="1:32" ht="13.35" customHeight="1" x14ac:dyDescent="0.25">
      <c r="A39" s="654"/>
      <c r="B39" s="775"/>
      <c r="C39" s="605"/>
      <c r="D39" s="776">
        <f>D38+1</f>
        <v>2</v>
      </c>
      <c r="E39" s="1147" t="s">
        <v>80</v>
      </c>
      <c r="F39" s="1148"/>
      <c r="G39" s="1149"/>
      <c r="H39" s="777">
        <v>3.1</v>
      </c>
      <c r="I39" s="778">
        <v>44.3</v>
      </c>
      <c r="J39" s="779">
        <v>0</v>
      </c>
      <c r="K39" s="779">
        <v>0</v>
      </c>
      <c r="L39" s="607"/>
      <c r="M39" s="607"/>
      <c r="N39" s="485"/>
      <c r="T39" s="312"/>
      <c r="U39" s="130"/>
      <c r="AE39" s="914" t="s">
        <v>27</v>
      </c>
    </row>
    <row r="40" spans="1:32" ht="12.75" customHeight="1" x14ac:dyDescent="0.25">
      <c r="A40" s="654"/>
      <c r="B40" s="775"/>
      <c r="C40" s="605"/>
      <c r="D40" s="776">
        <f t="shared" ref="D40:D49" si="0">D39+1</f>
        <v>3</v>
      </c>
      <c r="E40" s="1146" t="s">
        <v>81</v>
      </c>
      <c r="F40" s="1146"/>
      <c r="G40" s="1145"/>
      <c r="H40" s="777">
        <v>3.1</v>
      </c>
      <c r="I40" s="778">
        <v>44.3</v>
      </c>
      <c r="J40" s="779">
        <v>0</v>
      </c>
      <c r="K40" s="779">
        <v>0</v>
      </c>
      <c r="L40" s="607"/>
      <c r="M40" s="607"/>
      <c r="N40" s="485"/>
      <c r="T40" s="312"/>
      <c r="U40" s="130"/>
      <c r="AE40" s="914" t="s">
        <v>27</v>
      </c>
    </row>
    <row r="41" spans="1:32" ht="13.35" customHeight="1" x14ac:dyDescent="0.25">
      <c r="A41" s="654"/>
      <c r="B41" s="775"/>
      <c r="C41" s="605"/>
      <c r="D41" s="776">
        <f t="shared" si="0"/>
        <v>4</v>
      </c>
      <c r="E41" s="1132"/>
      <c r="F41" s="1132"/>
      <c r="G41" s="1133"/>
      <c r="H41" s="780"/>
      <c r="I41" s="781"/>
      <c r="J41" s="782"/>
      <c r="K41" s="782"/>
      <c r="L41" s="607"/>
      <c r="M41" s="607"/>
      <c r="N41" s="485"/>
      <c r="T41" s="312"/>
      <c r="U41" s="130"/>
      <c r="AE41" s="914" t="s">
        <v>27</v>
      </c>
    </row>
    <row r="42" spans="1:32" x14ac:dyDescent="0.25">
      <c r="A42" s="654"/>
      <c r="B42" s="775"/>
      <c r="C42" s="605"/>
      <c r="D42" s="776">
        <f t="shared" si="0"/>
        <v>5</v>
      </c>
      <c r="E42" s="1132"/>
      <c r="F42" s="1132"/>
      <c r="G42" s="1133"/>
      <c r="H42" s="780"/>
      <c r="I42" s="781"/>
      <c r="J42" s="782"/>
      <c r="K42" s="782"/>
      <c r="L42" s="607"/>
      <c r="M42" s="607"/>
      <c r="N42" s="485"/>
      <c r="T42" s="312"/>
      <c r="U42" s="130"/>
      <c r="AE42" s="914" t="s">
        <v>27</v>
      </c>
    </row>
    <row r="43" spans="1:32" ht="12.75" customHeight="1" x14ac:dyDescent="0.25">
      <c r="A43" s="654"/>
      <c r="B43" s="775"/>
      <c r="C43" s="605"/>
      <c r="D43" s="776">
        <f t="shared" si="0"/>
        <v>6</v>
      </c>
      <c r="E43" s="1132"/>
      <c r="F43" s="1132"/>
      <c r="G43" s="1133"/>
      <c r="H43" s="780"/>
      <c r="I43" s="781"/>
      <c r="J43" s="782"/>
      <c r="K43" s="782"/>
      <c r="L43" s="607"/>
      <c r="M43" s="607"/>
      <c r="N43" s="485"/>
      <c r="T43" s="312"/>
      <c r="U43" s="130"/>
      <c r="AE43" s="914" t="s">
        <v>27</v>
      </c>
    </row>
    <row r="44" spans="1:32" x14ac:dyDescent="0.25">
      <c r="A44" s="654"/>
      <c r="B44" s="775"/>
      <c r="C44" s="605"/>
      <c r="D44" s="776">
        <f t="shared" si="0"/>
        <v>7</v>
      </c>
      <c r="E44" s="1132"/>
      <c r="F44" s="1132"/>
      <c r="G44" s="1133"/>
      <c r="H44" s="780"/>
      <c r="I44" s="781"/>
      <c r="J44" s="782"/>
      <c r="K44" s="782"/>
      <c r="L44" s="607"/>
      <c r="M44" s="607"/>
      <c r="N44" s="485"/>
      <c r="T44" s="312"/>
      <c r="U44" s="130"/>
      <c r="AE44" s="914" t="s">
        <v>27</v>
      </c>
    </row>
    <row r="45" spans="1:32" x14ac:dyDescent="0.25">
      <c r="A45" s="654"/>
      <c r="B45" s="775"/>
      <c r="C45" s="605"/>
      <c r="D45" s="776">
        <f t="shared" si="0"/>
        <v>8</v>
      </c>
      <c r="E45" s="1132"/>
      <c r="F45" s="1132"/>
      <c r="G45" s="1133"/>
      <c r="H45" s="780"/>
      <c r="I45" s="781"/>
      <c r="J45" s="782"/>
      <c r="K45" s="782"/>
      <c r="L45" s="607"/>
      <c r="M45" s="607"/>
      <c r="N45" s="485"/>
      <c r="T45" s="312"/>
      <c r="U45" s="130"/>
      <c r="AE45" s="914" t="s">
        <v>27</v>
      </c>
    </row>
    <row r="46" spans="1:32" x14ac:dyDescent="0.25">
      <c r="A46" s="654"/>
      <c r="B46" s="775"/>
      <c r="C46" s="605"/>
      <c r="D46" s="776">
        <f t="shared" si="0"/>
        <v>9</v>
      </c>
      <c r="E46" s="1132"/>
      <c r="F46" s="1132"/>
      <c r="G46" s="1133"/>
      <c r="H46" s="780"/>
      <c r="I46" s="781"/>
      <c r="J46" s="782"/>
      <c r="K46" s="782"/>
      <c r="L46" s="607"/>
      <c r="M46" s="607"/>
      <c r="N46" s="485"/>
      <c r="T46" s="312"/>
      <c r="U46" s="130"/>
      <c r="AE46" s="914" t="s">
        <v>27</v>
      </c>
    </row>
    <row r="47" spans="1:32" x14ac:dyDescent="0.25">
      <c r="A47" s="654"/>
      <c r="B47" s="775"/>
      <c r="C47" s="605"/>
      <c r="D47" s="776">
        <f t="shared" si="0"/>
        <v>10</v>
      </c>
      <c r="E47" s="1132"/>
      <c r="F47" s="1132"/>
      <c r="G47" s="1133"/>
      <c r="H47" s="780"/>
      <c r="I47" s="781"/>
      <c r="J47" s="782"/>
      <c r="K47" s="782"/>
      <c r="L47" s="607"/>
      <c r="M47" s="607"/>
      <c r="N47" s="485"/>
      <c r="T47" s="312"/>
      <c r="U47" s="130"/>
      <c r="AE47" s="914" t="s">
        <v>27</v>
      </c>
    </row>
    <row r="48" spans="1:32" x14ac:dyDescent="0.25">
      <c r="A48" s="654"/>
      <c r="B48" s="775"/>
      <c r="C48" s="605"/>
      <c r="D48" s="776">
        <f t="shared" si="0"/>
        <v>11</v>
      </c>
      <c r="E48" s="1132"/>
      <c r="F48" s="1132"/>
      <c r="G48" s="1133"/>
      <c r="H48" s="780"/>
      <c r="I48" s="781"/>
      <c r="J48" s="782"/>
      <c r="K48" s="782"/>
      <c r="L48" s="607"/>
      <c r="M48" s="607"/>
      <c r="N48" s="485"/>
      <c r="T48" s="312"/>
      <c r="U48" s="130"/>
      <c r="AE48" s="914" t="s">
        <v>27</v>
      </c>
    </row>
    <row r="49" spans="1:32" x14ac:dyDescent="0.25">
      <c r="A49" s="654"/>
      <c r="B49" s="775"/>
      <c r="C49" s="605"/>
      <c r="D49" s="776">
        <f t="shared" si="0"/>
        <v>12</v>
      </c>
      <c r="E49" s="1132"/>
      <c r="F49" s="1132"/>
      <c r="G49" s="1133"/>
      <c r="H49" s="780"/>
      <c r="I49" s="781"/>
      <c r="J49" s="782"/>
      <c r="K49" s="782"/>
      <c r="L49" s="607"/>
      <c r="M49" s="607"/>
      <c r="N49" s="485"/>
      <c r="T49" s="312"/>
      <c r="U49" s="130"/>
      <c r="AE49" s="914" t="s">
        <v>27</v>
      </c>
    </row>
    <row r="50" spans="1:32" x14ac:dyDescent="0.25">
      <c r="A50" s="654"/>
      <c r="B50" s="775"/>
      <c r="C50" s="605"/>
      <c r="D50" s="776" t="s">
        <v>82</v>
      </c>
      <c r="E50" s="1114" t="s">
        <v>82</v>
      </c>
      <c r="F50" s="1114"/>
      <c r="G50" s="1186"/>
      <c r="H50" s="783" t="s">
        <v>82</v>
      </c>
      <c r="I50" s="784" t="s">
        <v>82</v>
      </c>
      <c r="J50" s="785" t="s">
        <v>82</v>
      </c>
      <c r="K50" s="785" t="s">
        <v>82</v>
      </c>
      <c r="L50" s="607"/>
      <c r="M50" s="607"/>
      <c r="N50" s="485"/>
      <c r="T50" s="312"/>
      <c r="U50" s="130"/>
      <c r="AE50" s="914" t="s">
        <v>27</v>
      </c>
    </row>
    <row r="51" spans="1:32" s="53" customFormat="1" ht="12.75" customHeight="1" x14ac:dyDescent="0.25">
      <c r="A51" s="654"/>
      <c r="B51" s="775"/>
      <c r="C51" s="613"/>
      <c r="D51" s="1115" t="s">
        <v>83</v>
      </c>
      <c r="E51" s="1115"/>
      <c r="F51" s="1115"/>
      <c r="G51" s="1115"/>
      <c r="H51" s="1115"/>
      <c r="I51" s="1115"/>
      <c r="J51" s="1115"/>
      <c r="K51" s="1115"/>
      <c r="L51" s="772"/>
      <c r="M51" s="613"/>
      <c r="R51" s="920"/>
      <c r="T51" s="312"/>
      <c r="U51" s="130"/>
      <c r="V51" s="129"/>
      <c r="W51" s="124"/>
      <c r="X51" s="124"/>
      <c r="Y51" s="124"/>
      <c r="Z51" s="124"/>
      <c r="AA51" s="124"/>
      <c r="AB51" s="124"/>
      <c r="AC51" s="124"/>
      <c r="AD51" s="124"/>
      <c r="AE51" s="914" t="s">
        <v>27</v>
      </c>
      <c r="AF51" s="312"/>
    </row>
    <row r="52" spans="1:32" x14ac:dyDescent="0.25">
      <c r="A52" s="654"/>
      <c r="B52" s="775"/>
      <c r="C52" s="607"/>
      <c r="D52" s="607"/>
      <c r="E52" s="607"/>
      <c r="F52" s="607"/>
      <c r="G52" s="607"/>
      <c r="H52" s="607"/>
      <c r="I52" s="607"/>
      <c r="J52" s="607"/>
      <c r="K52" s="607"/>
      <c r="L52" s="607"/>
      <c r="M52" s="607"/>
      <c r="T52" s="312"/>
      <c r="U52" s="130"/>
      <c r="AE52" s="914" t="s">
        <v>27</v>
      </c>
    </row>
    <row r="53" spans="1:32" x14ac:dyDescent="0.25">
      <c r="B53" s="775"/>
      <c r="U53" s="130"/>
    </row>
    <row r="54" spans="1:32" ht="12.75" customHeight="1" x14ac:dyDescent="0.25">
      <c r="B54" s="775"/>
      <c r="C54" s="60" t="s">
        <v>34</v>
      </c>
      <c r="D54" s="1104" t="s">
        <v>84</v>
      </c>
      <c r="E54" s="960"/>
      <c r="F54" s="960"/>
      <c r="G54" s="960"/>
      <c r="H54" s="960"/>
      <c r="I54" s="960"/>
      <c r="J54" s="960"/>
      <c r="K54" s="960"/>
      <c r="L54" s="960"/>
      <c r="M54" s="960"/>
      <c r="N54" s="960"/>
      <c r="O54" s="960"/>
      <c r="P54" s="960"/>
      <c r="Q54" s="960"/>
      <c r="R54" s="917"/>
      <c r="S54" s="775"/>
    </row>
    <row r="55" spans="1:32" s="53" customFormat="1" ht="13.2" customHeight="1" x14ac:dyDescent="0.25">
      <c r="A55" s="129"/>
      <c r="B55" s="775"/>
      <c r="D55" s="1200" t="s">
        <v>1945</v>
      </c>
      <c r="E55" s="1200"/>
      <c r="F55" s="1200"/>
      <c r="G55" s="1200"/>
      <c r="H55" s="1200"/>
      <c r="I55" s="1200"/>
      <c r="J55" s="1200"/>
      <c r="K55" s="1200"/>
      <c r="L55" s="1000"/>
      <c r="M55" s="1000"/>
      <c r="N55" s="1000"/>
      <c r="O55" s="1000"/>
      <c r="P55" s="1000"/>
      <c r="Q55" s="1000"/>
      <c r="R55" s="918"/>
      <c r="S55" s="775"/>
      <c r="T55" s="786"/>
      <c r="U55" s="130"/>
      <c r="V55" s="129"/>
      <c r="W55" s="129"/>
      <c r="X55" s="129"/>
      <c r="Y55" s="129"/>
      <c r="Z55" s="129"/>
      <c r="AA55" s="129"/>
      <c r="AB55" s="129"/>
      <c r="AC55" s="129"/>
      <c r="AD55" s="129"/>
      <c r="AE55" s="915" t="s">
        <v>11</v>
      </c>
      <c r="AF55" s="312"/>
    </row>
    <row r="56" spans="1:32" s="811" customFormat="1" ht="13.2" customHeight="1" x14ac:dyDescent="0.25">
      <c r="A56" s="129"/>
      <c r="B56" s="775"/>
      <c r="D56" s="1119" t="s">
        <v>1944</v>
      </c>
      <c r="E56" s="1119"/>
      <c r="F56" s="1119"/>
      <c r="G56" s="1119"/>
      <c r="H56" s="1119"/>
      <c r="I56" s="1119"/>
      <c r="J56" s="1119"/>
      <c r="K56" s="1119"/>
      <c r="L56" s="960"/>
      <c r="M56" s="960"/>
      <c r="N56" s="960"/>
      <c r="O56" s="960"/>
      <c r="P56" s="960"/>
      <c r="Q56" s="960"/>
      <c r="R56" s="917"/>
      <c r="S56" s="775"/>
      <c r="T56" s="786"/>
      <c r="U56" s="130"/>
      <c r="V56" s="129"/>
      <c r="W56" s="129"/>
      <c r="X56" s="129"/>
      <c r="Y56" s="129"/>
      <c r="Z56" s="129"/>
      <c r="AA56" s="129"/>
      <c r="AB56" s="129"/>
      <c r="AC56" s="129"/>
      <c r="AD56" s="129"/>
      <c r="AE56" s="915" t="s">
        <v>11</v>
      </c>
      <c r="AF56" s="312"/>
    </row>
    <row r="57" spans="1:32" s="53" customFormat="1" ht="26.4" customHeight="1" x14ac:dyDescent="0.25">
      <c r="A57" s="129"/>
      <c r="B57" s="775"/>
      <c r="D57" s="1201" t="str">
        <f>Translations!$B$906</f>
        <v xml:space="preserve">preliminary EF </v>
      </c>
      <c r="E57" s="1141"/>
      <c r="F57" s="1140" t="s">
        <v>85</v>
      </c>
      <c r="G57" s="1140"/>
      <c r="H57" s="1140"/>
      <c r="I57" s="1140"/>
      <c r="J57" s="1140"/>
      <c r="K57" s="1140"/>
      <c r="L57" s="1140"/>
      <c r="M57" s="1141"/>
      <c r="N57" s="1141"/>
      <c r="O57" s="1141"/>
      <c r="P57" s="1141"/>
      <c r="Q57" s="1142"/>
      <c r="R57" s="923"/>
      <c r="S57" s="775"/>
      <c r="T57" s="786"/>
      <c r="U57" s="130"/>
      <c r="V57" s="129"/>
      <c r="W57" s="129"/>
      <c r="X57" s="129"/>
      <c r="Y57" s="129"/>
      <c r="Z57" s="129"/>
      <c r="AA57" s="129"/>
      <c r="AB57" s="129"/>
      <c r="AC57" s="129"/>
      <c r="AD57" s="129"/>
      <c r="AE57" s="915" t="s">
        <v>11</v>
      </c>
      <c r="AF57" s="312"/>
    </row>
    <row r="58" spans="1:32" s="53" customFormat="1" ht="13.2" customHeight="1" x14ac:dyDescent="0.25">
      <c r="A58" s="129"/>
      <c r="B58" s="775"/>
      <c r="D58" s="1201" t="str">
        <f>Translations!$B$651</f>
        <v>NCV</v>
      </c>
      <c r="E58" s="1141"/>
      <c r="F58" s="1140" t="str">
        <f>Translations!$B$908</f>
        <v>Net calorific value. Proxy data is to be reported for completeness purposes. In this template it is not used for emission calculation.</v>
      </c>
      <c r="G58" s="1140"/>
      <c r="H58" s="1140"/>
      <c r="I58" s="1140"/>
      <c r="J58" s="1140"/>
      <c r="K58" s="1140"/>
      <c r="L58" s="1140"/>
      <c r="M58" s="1141"/>
      <c r="N58" s="1141"/>
      <c r="O58" s="1141"/>
      <c r="P58" s="1141"/>
      <c r="Q58" s="1142"/>
      <c r="R58" s="923"/>
      <c r="S58" s="775"/>
      <c r="T58" s="786"/>
      <c r="U58" s="130"/>
      <c r="V58" s="129"/>
      <c r="W58" s="129"/>
      <c r="X58" s="129"/>
      <c r="Y58" s="129"/>
      <c r="Z58" s="129"/>
      <c r="AA58" s="129"/>
      <c r="AB58" s="129"/>
      <c r="AC58" s="129"/>
      <c r="AD58" s="129"/>
      <c r="AE58" s="915" t="s">
        <v>11</v>
      </c>
      <c r="AF58" s="312"/>
    </row>
    <row r="59" spans="1:32" s="53" customFormat="1" ht="4.95" customHeight="1" x14ac:dyDescent="0.25">
      <c r="A59" s="129"/>
      <c r="B59" s="775"/>
      <c r="D59" s="572"/>
      <c r="E59" s="574"/>
      <c r="F59" s="574"/>
      <c r="G59" s="574"/>
      <c r="H59" s="574"/>
      <c r="I59" s="574"/>
      <c r="J59" s="574"/>
      <c r="K59" s="574"/>
      <c r="L59" s="574"/>
      <c r="M59" s="574"/>
      <c r="N59" s="80"/>
      <c r="R59" s="920"/>
      <c r="S59" s="775"/>
      <c r="T59" s="786"/>
      <c r="U59" s="130"/>
      <c r="V59" s="129"/>
      <c r="W59" s="129"/>
      <c r="X59" s="129"/>
      <c r="Y59" s="129"/>
      <c r="Z59" s="129"/>
      <c r="AA59" s="129"/>
      <c r="AB59" s="129"/>
      <c r="AC59" s="129"/>
      <c r="AD59" s="129"/>
      <c r="AE59" s="915" t="s">
        <v>11</v>
      </c>
      <c r="AF59" s="312"/>
    </row>
    <row r="60" spans="1:32" ht="26.4" customHeight="1" x14ac:dyDescent="0.25">
      <c r="B60" s="775"/>
      <c r="D60" s="1119" t="s">
        <v>1946</v>
      </c>
      <c r="E60" s="1119"/>
      <c r="F60" s="1119"/>
      <c r="G60" s="1119"/>
      <c r="H60" s="1119"/>
      <c r="I60" s="1119"/>
      <c r="J60" s="1119"/>
      <c r="K60" s="1119"/>
      <c r="L60" s="960"/>
      <c r="M60" s="960"/>
      <c r="N60" s="960"/>
      <c r="O60" s="960"/>
      <c r="P60" s="960"/>
      <c r="Q60" s="960"/>
      <c r="R60" s="917"/>
      <c r="S60" s="775"/>
      <c r="T60" s="786"/>
      <c r="AE60" s="915" t="s">
        <v>11</v>
      </c>
    </row>
    <row r="61" spans="1:32" ht="4.95" customHeight="1" x14ac:dyDescent="0.25">
      <c r="B61" s="775"/>
      <c r="S61" s="775"/>
      <c r="T61" s="786"/>
      <c r="AE61" s="915" t="s">
        <v>11</v>
      </c>
    </row>
    <row r="62" spans="1:32" ht="13.2" customHeight="1" x14ac:dyDescent="0.25">
      <c r="B62" s="775"/>
      <c r="D62" s="1159" t="s">
        <v>86</v>
      </c>
      <c r="E62" s="1160"/>
      <c r="F62" s="580" t="s">
        <v>87</v>
      </c>
      <c r="G62" s="906" t="s">
        <v>88</v>
      </c>
      <c r="H62" s="905"/>
      <c r="I62" s="905"/>
      <c r="J62" s="905"/>
      <c r="K62" s="905"/>
      <c r="L62" s="905"/>
      <c r="M62" s="905"/>
      <c r="N62" s="905"/>
      <c r="O62" s="905"/>
      <c r="P62" s="906" t="s">
        <v>2054</v>
      </c>
      <c r="Q62" s="581" t="s">
        <v>89</v>
      </c>
      <c r="R62" s="927"/>
      <c r="S62" s="775"/>
      <c r="T62" s="786"/>
      <c r="AE62" s="915" t="s">
        <v>11</v>
      </c>
      <c r="AF62" s="312" t="s">
        <v>2055</v>
      </c>
    </row>
    <row r="63" spans="1:32" ht="13.2" customHeight="1" x14ac:dyDescent="0.25">
      <c r="B63" s="775"/>
      <c r="D63" s="1134" t="s">
        <v>90</v>
      </c>
      <c r="E63" s="1135"/>
      <c r="F63" s="579" t="s">
        <v>91</v>
      </c>
      <c r="G63" s="1136" t="s">
        <v>92</v>
      </c>
      <c r="H63" s="1137"/>
      <c r="I63" s="1137"/>
      <c r="J63" s="1137"/>
      <c r="K63" s="1137"/>
      <c r="L63" s="1137"/>
      <c r="M63" s="1137"/>
      <c r="N63" s="1137"/>
      <c r="O63" s="1137"/>
      <c r="P63" s="577" t="s">
        <v>94</v>
      </c>
      <c r="Q63" s="593">
        <v>0.7</v>
      </c>
      <c r="R63" s="928"/>
      <c r="S63" s="775"/>
      <c r="T63" s="786"/>
      <c r="AE63" s="915" t="s">
        <v>11</v>
      </c>
    </row>
    <row r="64" spans="1:32" ht="13.2" customHeight="1" x14ac:dyDescent="0.25">
      <c r="B64" s="775"/>
      <c r="D64" s="1088" t="s">
        <v>93</v>
      </c>
      <c r="E64" s="1089"/>
      <c r="F64" s="577" t="s">
        <v>94</v>
      </c>
      <c r="G64" s="1086" t="s">
        <v>95</v>
      </c>
      <c r="H64" s="1087"/>
      <c r="I64" s="1087"/>
      <c r="J64" s="1087"/>
      <c r="K64" s="1087"/>
      <c r="L64" s="1087"/>
      <c r="M64" s="1087"/>
      <c r="N64" s="1087"/>
      <c r="O64" s="1087"/>
      <c r="P64" s="577" t="s">
        <v>94</v>
      </c>
      <c r="Q64" s="594">
        <v>0.5</v>
      </c>
      <c r="R64" s="928"/>
      <c r="S64" s="775"/>
      <c r="T64" s="786"/>
      <c r="AE64" s="915" t="s">
        <v>11</v>
      </c>
    </row>
    <row r="65" spans="2:32" ht="26.4" customHeight="1" x14ac:dyDescent="0.25">
      <c r="B65" s="775"/>
      <c r="D65" s="1088" t="s">
        <v>96</v>
      </c>
      <c r="E65" s="1089"/>
      <c r="F65" s="577" t="s">
        <v>97</v>
      </c>
      <c r="G65" s="1086" t="s">
        <v>98</v>
      </c>
      <c r="H65" s="1087"/>
      <c r="I65" s="1087"/>
      <c r="J65" s="1087"/>
      <c r="K65" s="1087"/>
      <c r="L65" s="1087"/>
      <c r="M65" s="1087"/>
      <c r="N65" s="1087"/>
      <c r="O65" s="1087"/>
      <c r="P65" s="577" t="s">
        <v>94</v>
      </c>
      <c r="Q65" s="594">
        <v>0.5</v>
      </c>
      <c r="R65" s="928"/>
      <c r="S65" s="775"/>
      <c r="T65" s="786"/>
      <c r="AE65" s="915" t="s">
        <v>11</v>
      </c>
    </row>
    <row r="66" spans="2:32" ht="26.4" customHeight="1" x14ac:dyDescent="0.25">
      <c r="B66" s="775"/>
      <c r="D66" s="1088" t="s">
        <v>99</v>
      </c>
      <c r="E66" s="1089"/>
      <c r="F66" s="577" t="s">
        <v>100</v>
      </c>
      <c r="G66" s="1086" t="s">
        <v>101</v>
      </c>
      <c r="H66" s="1087"/>
      <c r="I66" s="1087"/>
      <c r="J66" s="1087"/>
      <c r="K66" s="1087"/>
      <c r="L66" s="1087"/>
      <c r="M66" s="1087"/>
      <c r="N66" s="1087"/>
      <c r="O66" s="1087"/>
      <c r="P66" s="577" t="s">
        <v>94</v>
      </c>
      <c r="Q66" s="594">
        <v>0.7</v>
      </c>
      <c r="R66" s="928"/>
      <c r="S66" s="775"/>
      <c r="T66" s="786"/>
      <c r="AE66" s="915" t="s">
        <v>11</v>
      </c>
    </row>
    <row r="67" spans="2:32" ht="13.2" customHeight="1" x14ac:dyDescent="0.25">
      <c r="B67" s="775"/>
      <c r="D67" s="1088" t="s">
        <v>102</v>
      </c>
      <c r="E67" s="1089"/>
      <c r="F67" s="577" t="s">
        <v>103</v>
      </c>
      <c r="G67" s="1086" t="s">
        <v>104</v>
      </c>
      <c r="H67" s="1087"/>
      <c r="I67" s="1087"/>
      <c r="J67" s="1087"/>
      <c r="K67" s="1087"/>
      <c r="L67" s="1087"/>
      <c r="M67" s="1087"/>
      <c r="N67" s="1087"/>
      <c r="O67" s="1087"/>
      <c r="P67" s="577" t="s">
        <v>94</v>
      </c>
      <c r="Q67" s="594">
        <v>0.5</v>
      </c>
      <c r="R67" s="928"/>
      <c r="S67" s="775"/>
      <c r="T67" s="786"/>
      <c r="AE67" s="915" t="s">
        <v>11</v>
      </c>
    </row>
    <row r="68" spans="2:32" ht="13.2" customHeight="1" x14ac:dyDescent="0.25">
      <c r="B68" s="775"/>
      <c r="D68" s="1088" t="s">
        <v>105</v>
      </c>
      <c r="E68" s="1089"/>
      <c r="F68" s="577" t="s">
        <v>106</v>
      </c>
      <c r="G68" s="1086" t="s">
        <v>107</v>
      </c>
      <c r="H68" s="1087"/>
      <c r="I68" s="1087"/>
      <c r="J68" s="1087"/>
      <c r="K68" s="1087"/>
      <c r="L68" s="1087"/>
      <c r="M68" s="1087"/>
      <c r="N68" s="1087"/>
      <c r="O68" s="1087"/>
      <c r="P68" s="577" t="s">
        <v>94</v>
      </c>
      <c r="Q68" s="594" t="str">
        <f>Euconst_NA</f>
        <v>n.a.</v>
      </c>
      <c r="R68" s="928"/>
      <c r="S68" s="775"/>
      <c r="T68" s="786"/>
      <c r="AE68" s="915" t="s">
        <v>11</v>
      </c>
    </row>
    <row r="69" spans="2:32" ht="13.2" customHeight="1" x14ac:dyDescent="0.25">
      <c r="B69" s="775"/>
      <c r="D69" s="1088" t="s">
        <v>108</v>
      </c>
      <c r="E69" s="1089"/>
      <c r="F69" s="577" t="s">
        <v>109</v>
      </c>
      <c r="G69" s="1086" t="s">
        <v>110</v>
      </c>
      <c r="H69" s="1087"/>
      <c r="I69" s="1087"/>
      <c r="J69" s="1087"/>
      <c r="K69" s="1087"/>
      <c r="L69" s="1087"/>
      <c r="M69" s="1087"/>
      <c r="N69" s="1087"/>
      <c r="O69" s="1087"/>
      <c r="P69" s="577" t="s">
        <v>94</v>
      </c>
      <c r="Q69" s="594" t="str">
        <f>Euconst_NA</f>
        <v>n.a.</v>
      </c>
      <c r="R69" s="928"/>
      <c r="S69" s="775"/>
      <c r="T69" s="786"/>
      <c r="AE69" s="915" t="s">
        <v>11</v>
      </c>
    </row>
    <row r="70" spans="2:32" ht="13.2" customHeight="1" x14ac:dyDescent="0.25">
      <c r="B70" s="775"/>
      <c r="D70" s="1088" t="s">
        <v>111</v>
      </c>
      <c r="E70" s="1089"/>
      <c r="F70" s="577" t="s">
        <v>111</v>
      </c>
      <c r="G70" s="1086" t="s">
        <v>112</v>
      </c>
      <c r="H70" s="1087"/>
      <c r="I70" s="1087"/>
      <c r="J70" s="1087"/>
      <c r="K70" s="1087"/>
      <c r="L70" s="1087"/>
      <c r="M70" s="1087"/>
      <c r="N70" s="1087"/>
      <c r="O70" s="1087"/>
      <c r="P70" s="577" t="s">
        <v>157</v>
      </c>
      <c r="Q70" s="594">
        <v>0.95</v>
      </c>
      <c r="R70" s="928"/>
      <c r="S70" s="775"/>
      <c r="T70" s="786"/>
      <c r="AE70" s="915" t="s">
        <v>11</v>
      </c>
    </row>
    <row r="71" spans="2:32" ht="13.2" customHeight="1" x14ac:dyDescent="0.25">
      <c r="B71" s="775"/>
      <c r="D71" s="1088" t="s">
        <v>113</v>
      </c>
      <c r="E71" s="1089"/>
      <c r="F71" s="577" t="s">
        <v>113</v>
      </c>
      <c r="G71" s="1086" t="s">
        <v>114</v>
      </c>
      <c r="H71" s="1087"/>
      <c r="I71" s="1087"/>
      <c r="J71" s="1087"/>
      <c r="K71" s="1087"/>
      <c r="L71" s="1087"/>
      <c r="M71" s="1087"/>
      <c r="N71" s="1087"/>
      <c r="O71" s="1087"/>
      <c r="P71" s="577" t="s">
        <v>157</v>
      </c>
      <c r="Q71" s="594" t="str">
        <f>Euconst_NA</f>
        <v>n.a.</v>
      </c>
      <c r="R71" s="928"/>
      <c r="S71" s="775"/>
      <c r="T71" s="786"/>
      <c r="AE71" s="915" t="s">
        <v>11</v>
      </c>
    </row>
    <row r="72" spans="2:32" ht="13.2" customHeight="1" x14ac:dyDescent="0.25">
      <c r="B72" s="775"/>
      <c r="D72" s="1088" t="s">
        <v>115</v>
      </c>
      <c r="E72" s="1089"/>
      <c r="F72" s="577" t="s">
        <v>116</v>
      </c>
      <c r="G72" s="1086" t="s">
        <v>117</v>
      </c>
      <c r="H72" s="1087"/>
      <c r="I72" s="1087"/>
      <c r="J72" s="1087"/>
      <c r="K72" s="1087"/>
      <c r="L72" s="1087"/>
      <c r="M72" s="1087"/>
      <c r="N72" s="1087"/>
      <c r="O72" s="1087"/>
      <c r="P72" s="577" t="s">
        <v>157</v>
      </c>
      <c r="Q72" s="594" t="str">
        <f>Euconst_NA</f>
        <v>n.a.</v>
      </c>
      <c r="R72" s="928"/>
      <c r="S72" s="775"/>
      <c r="T72" s="786"/>
      <c r="AE72" s="915" t="s">
        <v>11</v>
      </c>
    </row>
    <row r="73" spans="2:32" ht="13.2" customHeight="1" x14ac:dyDescent="0.25">
      <c r="B73" s="775"/>
      <c r="D73" s="1088" t="s">
        <v>118</v>
      </c>
      <c r="E73" s="1089"/>
      <c r="F73" s="577" t="s">
        <v>119</v>
      </c>
      <c r="G73" s="1086" t="s">
        <v>120</v>
      </c>
      <c r="H73" s="1087"/>
      <c r="I73" s="1087"/>
      <c r="J73" s="1087"/>
      <c r="K73" s="1087"/>
      <c r="L73" s="1087"/>
      <c r="M73" s="1087"/>
      <c r="N73" s="1087"/>
      <c r="O73" s="1087"/>
      <c r="P73" s="577" t="s">
        <v>157</v>
      </c>
      <c r="Q73" s="594" t="str">
        <f>Euconst_NA</f>
        <v>n.a.</v>
      </c>
      <c r="R73" s="928"/>
      <c r="S73" s="775"/>
      <c r="T73" s="786"/>
      <c r="AE73" s="915" t="s">
        <v>11</v>
      </c>
    </row>
    <row r="74" spans="2:32" ht="26.4" customHeight="1" x14ac:dyDescent="0.25">
      <c r="B74" s="775"/>
      <c r="D74" s="1088" t="s">
        <v>121</v>
      </c>
      <c r="E74" s="1089"/>
      <c r="F74" s="577" t="s">
        <v>122</v>
      </c>
      <c r="G74" s="1086" t="s">
        <v>2050</v>
      </c>
      <c r="H74" s="1087"/>
      <c r="I74" s="1087"/>
      <c r="J74" s="1087"/>
      <c r="K74" s="1087"/>
      <c r="L74" s="1087"/>
      <c r="M74" s="1087"/>
      <c r="N74" s="1087"/>
      <c r="O74" s="1087"/>
      <c r="P74" s="577" t="s">
        <v>124</v>
      </c>
      <c r="Q74" s="594">
        <v>0.5</v>
      </c>
      <c r="R74" s="928"/>
      <c r="S74" s="775"/>
      <c r="T74" s="786"/>
      <c r="AE74" s="915" t="s">
        <v>11</v>
      </c>
    </row>
    <row r="75" spans="2:32" ht="26.4" customHeight="1" x14ac:dyDescent="0.25">
      <c r="B75" s="775"/>
      <c r="D75" s="1088" t="s">
        <v>123</v>
      </c>
      <c r="E75" s="1089"/>
      <c r="F75" s="577" t="s">
        <v>124</v>
      </c>
      <c r="G75" s="1086" t="s">
        <v>2052</v>
      </c>
      <c r="H75" s="1087"/>
      <c r="I75" s="1087"/>
      <c r="J75" s="1087"/>
      <c r="K75" s="1087"/>
      <c r="L75" s="1087"/>
      <c r="M75" s="1087"/>
      <c r="N75" s="1087"/>
      <c r="O75" s="1087"/>
      <c r="P75" s="577" t="s">
        <v>124</v>
      </c>
      <c r="Q75" s="594" t="str">
        <f>Euconst_NA</f>
        <v>n.a.</v>
      </c>
      <c r="R75" s="928"/>
      <c r="S75" s="775"/>
      <c r="T75" s="786"/>
      <c r="AE75" s="915" t="s">
        <v>11</v>
      </c>
      <c r="AF75" s="312" t="s">
        <v>2053</v>
      </c>
    </row>
    <row r="76" spans="2:32" ht="26.4" customHeight="1" x14ac:dyDescent="0.25">
      <c r="B76" s="775"/>
      <c r="D76" s="1088" t="s">
        <v>125</v>
      </c>
      <c r="E76" s="1089"/>
      <c r="F76" s="577" t="s">
        <v>126</v>
      </c>
      <c r="G76" s="1086" t="s">
        <v>2051</v>
      </c>
      <c r="H76" s="1087"/>
      <c r="I76" s="1087"/>
      <c r="J76" s="1087"/>
      <c r="K76" s="1087"/>
      <c r="L76" s="1087"/>
      <c r="M76" s="1087"/>
      <c r="N76" s="1087"/>
      <c r="O76" s="1087"/>
      <c r="P76" s="577" t="s">
        <v>124</v>
      </c>
      <c r="Q76" s="594" t="str">
        <f>Euconst_NA</f>
        <v>n.a.</v>
      </c>
      <c r="R76" s="928"/>
      <c r="S76" s="775"/>
      <c r="T76" s="786"/>
      <c r="AE76" s="915" t="s">
        <v>11</v>
      </c>
    </row>
    <row r="77" spans="2:32" ht="13.2" customHeight="1" thickBot="1" x14ac:dyDescent="0.3">
      <c r="B77" s="775"/>
      <c r="D77" s="1088" t="s">
        <v>127</v>
      </c>
      <c r="E77" s="1089"/>
      <c r="F77" s="577" t="s">
        <v>127</v>
      </c>
      <c r="G77" s="1086" t="s">
        <v>128</v>
      </c>
      <c r="H77" s="1087"/>
      <c r="I77" s="1087"/>
      <c r="J77" s="1087"/>
      <c r="K77" s="1087"/>
      <c r="L77" s="1087"/>
      <c r="M77" s="1087"/>
      <c r="N77" s="1087"/>
      <c r="O77" s="1087"/>
      <c r="P77" s="577" t="s">
        <v>127</v>
      </c>
      <c r="Q77" s="594" t="str">
        <f>Euconst_NA</f>
        <v>n.a.</v>
      </c>
      <c r="R77" s="928"/>
      <c r="S77" s="775"/>
      <c r="T77" s="786"/>
      <c r="AE77" s="915" t="s">
        <v>11</v>
      </c>
    </row>
    <row r="78" spans="2:32" ht="26.4" customHeight="1" x14ac:dyDescent="0.25">
      <c r="B78" s="775"/>
      <c r="D78" s="1088" t="s">
        <v>129</v>
      </c>
      <c r="E78" s="1089"/>
      <c r="F78" s="577" t="s">
        <v>130</v>
      </c>
      <c r="G78" s="1086" t="s">
        <v>131</v>
      </c>
      <c r="H78" s="1087"/>
      <c r="I78" s="1087"/>
      <c r="J78" s="1087"/>
      <c r="K78" s="1087"/>
      <c r="L78" s="1087"/>
      <c r="M78" s="1087"/>
      <c r="N78" s="1087"/>
      <c r="O78" s="1087"/>
      <c r="P78" s="577" t="s">
        <v>130</v>
      </c>
      <c r="Q78" s="594" t="s">
        <v>132</v>
      </c>
      <c r="R78" s="928"/>
      <c r="S78" s="775"/>
      <c r="T78" s="786"/>
      <c r="U78" s="762" t="s">
        <v>138</v>
      </c>
      <c r="V78" s="763"/>
      <c r="W78" s="763"/>
      <c r="X78" s="763"/>
      <c r="Y78" s="763"/>
      <c r="Z78" s="764"/>
      <c r="AE78" s="915" t="s">
        <v>11</v>
      </c>
    </row>
    <row r="79" spans="2:32" ht="13.8" thickBot="1" x14ac:dyDescent="0.3">
      <c r="B79" s="775"/>
      <c r="D79" s="572"/>
      <c r="E79" s="2"/>
      <c r="F79" s="2"/>
      <c r="G79" s="2"/>
      <c r="H79" s="2"/>
      <c r="I79" s="2"/>
      <c r="J79" s="2"/>
      <c r="K79" s="2"/>
      <c r="L79" s="2"/>
      <c r="M79" s="2"/>
      <c r="S79" s="775"/>
      <c r="T79" s="786"/>
      <c r="U79" s="646"/>
      <c r="Y79" s="891"/>
      <c r="Z79" s="760"/>
      <c r="AE79" s="915" t="s">
        <v>11</v>
      </c>
    </row>
    <row r="80" spans="2:32" x14ac:dyDescent="0.25">
      <c r="B80" s="775"/>
      <c r="D80" s="1202" t="s">
        <v>2059</v>
      </c>
      <c r="E80" s="1203"/>
      <c r="F80" s="1203"/>
      <c r="G80" s="1203"/>
      <c r="H80" s="1203"/>
      <c r="I80" s="1203"/>
      <c r="J80" s="1203"/>
      <c r="K80" s="1203"/>
      <c r="L80" s="1203"/>
      <c r="M80" s="1203"/>
      <c r="N80" s="1203"/>
      <c r="O80" s="1203"/>
      <c r="P80" s="1203"/>
      <c r="Q80" s="1203"/>
      <c r="R80" s="922"/>
      <c r="S80" s="775"/>
      <c r="T80" s="786"/>
      <c r="U80" s="647" t="s">
        <v>141</v>
      </c>
      <c r="V80" s="124" t="s">
        <v>142</v>
      </c>
      <c r="W80" s="124" t="s">
        <v>143</v>
      </c>
      <c r="X80" s="124" t="s">
        <v>144</v>
      </c>
      <c r="Y80" s="891" t="s">
        <v>145</v>
      </c>
      <c r="Z80" s="760" t="s">
        <v>2023</v>
      </c>
      <c r="AA80" s="766"/>
      <c r="AB80" s="582" t="s">
        <v>140</v>
      </c>
      <c r="AC80" s="870" t="str">
        <f ca="1">IF(ISERROR(CELL("filename",AB80)),"Emissions overview",MID(CELL("filename",AB80),FIND("]",CELL("filename",AB80))+1,1024))</f>
        <v>Emissions overview</v>
      </c>
      <c r="AE80" s="915" t="s">
        <v>11</v>
      </c>
      <c r="AF80" s="312" t="s">
        <v>2058</v>
      </c>
    </row>
    <row r="81" spans="2:31" ht="13.8" thickBot="1" x14ac:dyDescent="0.3">
      <c r="B81" s="775"/>
      <c r="S81" s="775"/>
      <c r="T81" s="786"/>
      <c r="U81" s="767" t="s">
        <v>147</v>
      </c>
      <c r="V81" s="765" t="s">
        <v>148</v>
      </c>
      <c r="W81" s="765" t="s">
        <v>149</v>
      </c>
      <c r="X81" s="765" t="s">
        <v>150</v>
      </c>
      <c r="Y81" s="890" t="s">
        <v>151</v>
      </c>
      <c r="Z81" s="768" t="s">
        <v>2022</v>
      </c>
      <c r="AA81" s="769" t="s">
        <v>152</v>
      </c>
      <c r="AB81" s="770"/>
      <c r="AC81" s="761" t="s">
        <v>153</v>
      </c>
      <c r="AE81" s="915" t="s">
        <v>11</v>
      </c>
    </row>
    <row r="82" spans="2:31" ht="26.4" customHeight="1" thickBot="1" x14ac:dyDescent="0.3">
      <c r="B82" s="775"/>
      <c r="D82" s="52" t="str">
        <f>Translations!$B$914</f>
        <v>Fuel No.</v>
      </c>
      <c r="E82" s="1185" t="str">
        <f>Translations!$B$915</f>
        <v>Name of fuel</v>
      </c>
      <c r="F82" s="1093"/>
      <c r="G82" s="505" t="s">
        <v>133</v>
      </c>
      <c r="H82" s="1199" t="s">
        <v>134</v>
      </c>
      <c r="I82" s="982"/>
      <c r="J82" s="1199" t="s">
        <v>135</v>
      </c>
      <c r="K82" s="982"/>
      <c r="L82" s="52" t="str">
        <f>Translations!$B$916</f>
        <v>preliminary EF 
[t CO2 / t fuel]</v>
      </c>
      <c r="M82" s="52" t="str">
        <f>Translations!$B$917</f>
        <v>NCV [GJ/t]</v>
      </c>
      <c r="N82" s="52" t="s">
        <v>136</v>
      </c>
      <c r="O82" s="52" t="s">
        <v>137</v>
      </c>
      <c r="S82" s="775"/>
      <c r="T82" s="786"/>
      <c r="AA82" s="765"/>
      <c r="AB82" s="124" t="s">
        <v>146</v>
      </c>
      <c r="AC82" s="871" t="str">
        <f ca="1">IF(MAX(AA86:AA100)=0,"",ADDRESS(ROW(AC86),COLUMN(AC86),,, AC80) &amp; ":" &amp; ADDRESS(ROW(AC86)+MAX(AA86:AA100)-1,COLUMN(AC86)))</f>
        <v>'Emissions overview'!$AC$86:$AC$88</v>
      </c>
      <c r="AE82" s="915" t="s">
        <v>11</v>
      </c>
    </row>
    <row r="83" spans="2:31" ht="13.2" customHeight="1" x14ac:dyDescent="0.25">
      <c r="B83" s="775"/>
      <c r="D83" s="123">
        <v>1</v>
      </c>
      <c r="E83" s="1189" t="str">
        <f>Translations!$B$273</f>
        <v>Jet kerosene (Jet A1 or Jet A)</v>
      </c>
      <c r="F83" s="1093"/>
      <c r="G83" s="576"/>
      <c r="H83" s="982" t="s">
        <v>139</v>
      </c>
      <c r="I83" s="982"/>
      <c r="J83" s="982"/>
      <c r="K83" s="982"/>
      <c r="L83" s="570">
        <v>3.16</v>
      </c>
      <c r="M83" s="133">
        <v>44.1</v>
      </c>
      <c r="N83" s="576"/>
      <c r="O83" s="576"/>
      <c r="S83" s="775"/>
      <c r="T83" s="786"/>
      <c r="V83" s="872" t="s">
        <v>79</v>
      </c>
      <c r="AC83" s="872" t="s">
        <v>79</v>
      </c>
      <c r="AD83" s="867"/>
      <c r="AE83" s="915" t="s">
        <v>11</v>
      </c>
    </row>
    <row r="84" spans="2:31" ht="13.2" customHeight="1" x14ac:dyDescent="0.25">
      <c r="B84" s="775"/>
      <c r="D84" s="123">
        <f>D83+1</f>
        <v>2</v>
      </c>
      <c r="E84" s="1189" t="str">
        <f>Translations!$B$274</f>
        <v>Jet gasoline (Jet B)</v>
      </c>
      <c r="F84" s="1161"/>
      <c r="G84" s="576"/>
      <c r="H84" s="982" t="s">
        <v>139</v>
      </c>
      <c r="I84" s="982"/>
      <c r="J84" s="982"/>
      <c r="K84" s="982"/>
      <c r="L84" s="132">
        <v>3.1</v>
      </c>
      <c r="M84" s="133">
        <v>44.3</v>
      </c>
      <c r="N84" s="576"/>
      <c r="O84" s="576"/>
      <c r="S84" s="775"/>
      <c r="T84" s="786"/>
      <c r="V84" s="873" t="s">
        <v>80</v>
      </c>
      <c r="AC84" s="873" t="s">
        <v>80</v>
      </c>
      <c r="AD84" s="867"/>
      <c r="AE84" s="915" t="s">
        <v>11</v>
      </c>
    </row>
    <row r="85" spans="2:31" ht="13.2" customHeight="1" thickBot="1" x14ac:dyDescent="0.3">
      <c r="B85" s="775"/>
      <c r="D85" s="123">
        <f>D84+1</f>
        <v>3</v>
      </c>
      <c r="E85" s="1189" t="str">
        <f>Translations!$B$275</f>
        <v>Aviation gasoline (AvGas)</v>
      </c>
      <c r="F85" s="1093"/>
      <c r="G85" s="576"/>
      <c r="H85" s="982" t="s">
        <v>139</v>
      </c>
      <c r="I85" s="982"/>
      <c r="J85" s="982"/>
      <c r="K85" s="982"/>
      <c r="L85" s="132">
        <v>3.1</v>
      </c>
      <c r="M85" s="133">
        <v>44.3</v>
      </c>
      <c r="N85" s="576"/>
      <c r="O85" s="576"/>
      <c r="S85" s="775"/>
      <c r="T85" s="786"/>
      <c r="V85" s="881" t="s">
        <v>81</v>
      </c>
      <c r="AC85" s="874" t="s">
        <v>81</v>
      </c>
      <c r="AD85" s="867"/>
      <c r="AE85" s="915" t="s">
        <v>11</v>
      </c>
    </row>
    <row r="86" spans="2:31" ht="13.2" customHeight="1" x14ac:dyDescent="0.25">
      <c r="B86" s="775"/>
      <c r="D86" s="123">
        <f>D85+1</f>
        <v>4</v>
      </c>
      <c r="E86" s="1150" t="s">
        <v>2103</v>
      </c>
      <c r="F86" s="1151"/>
      <c r="G86" s="944" t="s">
        <v>154</v>
      </c>
      <c r="H86" s="1181" t="s">
        <v>94</v>
      </c>
      <c r="I86" s="1182"/>
      <c r="J86" s="1181" t="s">
        <v>94</v>
      </c>
      <c r="K86" s="1182"/>
      <c r="L86" s="945">
        <f t="shared" ref="L86:L98" si="1">IF($E86="","",IF($G86="",ERRmsg_SelectMainFuel,INDEX(CNST_MainFuelEFref,MATCH($G86,CNST_MainFuelTypes,0))))</f>
        <v>3.16</v>
      </c>
      <c r="M86" s="945">
        <f t="shared" ref="M86:M98" si="2">IF($E86="","",IF($G86="",ERRmsg_SelectMainFuel,INDEX(CNST_MainFuelNCVref,MATCH($G86,CNST_MainFuelTypes,0))))</f>
        <v>44.1</v>
      </c>
      <c r="N86" s="595" t="b">
        <f t="shared" ref="N86:N98" si="3">IF($E86="","",IF($J86="",ERRmsg_Incomplete,INDEX(CNST_AltFuelsZero,MATCH($J86,CNST_AltFuelTypesShort,0))))</f>
        <v>1</v>
      </c>
      <c r="O86" s="596">
        <f t="shared" ref="O86:O98" si="4">IF($E86="","",IF($J86="",ERRmsg_Incomplete,IF(INDEX(CNST_AltFuelsSupportRate,MATCH($J86,CNST_AltFuelTypesShort,0))="","",INDEX(CNST_AltFuelsSupportRate,MATCH($J86,CNST_AltFuelTypesShort,0)))))</f>
        <v>0.5</v>
      </c>
      <c r="S86" s="775"/>
      <c r="T86" s="786"/>
      <c r="U86" s="882" t="b">
        <f t="shared" ref="U86:U98" si="5">AND(E86&lt;&gt;"",G86&lt;&gt;"",J86&lt;&gt;"")</f>
        <v>1</v>
      </c>
      <c r="V86" s="883" t="str">
        <f>IF(E86="","",CONCATENATE(D86, ". ",E86))</f>
        <v>4. HEFA</v>
      </c>
      <c r="W86" s="868" t="b">
        <f t="shared" ref="W86:W100" si="6">$H86=INDEX(CNST_AltMainFuels,1)</f>
        <v>1</v>
      </c>
      <c r="X86" s="869" t="b">
        <f t="shared" ref="X86:X100" si="7">$H86=INDEX(CNST_AltMainFuels,2)</f>
        <v>0</v>
      </c>
      <c r="Y86" s="869" t="b">
        <f t="shared" ref="Y86:Y100" si="8">$H86=INDEX(CNST_AltMainFuels,3)</f>
        <v>0</v>
      </c>
      <c r="Z86" s="892" t="b">
        <f t="shared" ref="Z86:Z100" si="9">$H86=INDEX(CNST_AltMainFuels,4)</f>
        <v>0</v>
      </c>
      <c r="AA86" s="868">
        <f>IF(U86=FALSE,"",COUNTIF(U$86:U86,TRUE))</f>
        <v>1</v>
      </c>
      <c r="AB86" s="869">
        <v>1</v>
      </c>
      <c r="AC86" s="653" t="str">
        <f t="shared" ref="AC86:AC100" si="10">IFERROR(INDEX( $V$86:$V$100,MATCH(AB86,$AA$86:$AA$100,0)),"")</f>
        <v>4. HEFA</v>
      </c>
      <c r="AE86" s="915" t="s">
        <v>11</v>
      </c>
    </row>
    <row r="87" spans="2:31" ht="13.2" customHeight="1" x14ac:dyDescent="0.25">
      <c r="B87" s="775"/>
      <c r="D87" s="123">
        <f t="shared" ref="D87:D92" si="11">D86+1</f>
        <v>5</v>
      </c>
      <c r="E87" s="1150" t="s">
        <v>2104</v>
      </c>
      <c r="F87" s="1151"/>
      <c r="G87" s="944" t="s">
        <v>154</v>
      </c>
      <c r="H87" s="1181" t="s">
        <v>157</v>
      </c>
      <c r="I87" s="1182"/>
      <c r="J87" s="1181" t="s">
        <v>111</v>
      </c>
      <c r="K87" s="1182"/>
      <c r="L87" s="945">
        <f t="shared" si="1"/>
        <v>3.16</v>
      </c>
      <c r="M87" s="945">
        <f t="shared" si="2"/>
        <v>44.1</v>
      </c>
      <c r="N87" s="595" t="b">
        <f t="shared" si="3"/>
        <v>1</v>
      </c>
      <c r="O87" s="596">
        <f t="shared" si="4"/>
        <v>0.95</v>
      </c>
      <c r="S87" s="775"/>
      <c r="T87" s="786"/>
      <c r="U87" s="877" t="b">
        <f t="shared" si="5"/>
        <v>1</v>
      </c>
      <c r="V87" s="879" t="str">
        <f t="shared" ref="V87:V100" si="12">IF(E87="","",CONCATENATE(D87, ". ",E87))</f>
        <v>5. RFNBO EDDF</v>
      </c>
      <c r="W87" s="648" t="b">
        <f t="shared" si="6"/>
        <v>0</v>
      </c>
      <c r="X87" s="122" t="b">
        <f t="shared" si="7"/>
        <v>1</v>
      </c>
      <c r="Y87" s="122" t="b">
        <f t="shared" si="8"/>
        <v>0</v>
      </c>
      <c r="Z87" s="893" t="b">
        <f t="shared" si="9"/>
        <v>0</v>
      </c>
      <c r="AA87" s="648">
        <f>IF(U87=FALSE,"",COUNTIF(U$86:U87,TRUE))</f>
        <v>2</v>
      </c>
      <c r="AB87" s="122">
        <f>AB86+1</f>
        <v>2</v>
      </c>
      <c r="AC87" s="649" t="str">
        <f t="shared" si="10"/>
        <v>5. RFNBO EDDF</v>
      </c>
      <c r="AE87" s="915" t="s">
        <v>11</v>
      </c>
    </row>
    <row r="88" spans="2:31" ht="13.2" customHeight="1" x14ac:dyDescent="0.25">
      <c r="B88" s="775"/>
      <c r="D88" s="123">
        <f t="shared" si="11"/>
        <v>6</v>
      </c>
      <c r="E88" s="1150" t="s">
        <v>2105</v>
      </c>
      <c r="F88" s="1151"/>
      <c r="G88" s="944" t="s">
        <v>154</v>
      </c>
      <c r="H88" s="1181" t="s">
        <v>94</v>
      </c>
      <c r="I88" s="1182"/>
      <c r="J88" s="1181" t="s">
        <v>109</v>
      </c>
      <c r="K88" s="1182"/>
      <c r="L88" s="945">
        <f t="shared" si="1"/>
        <v>3.16</v>
      </c>
      <c r="M88" s="945">
        <f t="shared" si="2"/>
        <v>44.1</v>
      </c>
      <c r="N88" s="595" t="b">
        <f t="shared" si="3"/>
        <v>0</v>
      </c>
      <c r="O88" s="596" t="str">
        <f t="shared" si="4"/>
        <v>n.a.</v>
      </c>
      <c r="S88" s="775"/>
      <c r="T88" s="786"/>
      <c r="U88" s="877" t="b">
        <f t="shared" si="5"/>
        <v>1</v>
      </c>
      <c r="V88" s="879" t="str">
        <f t="shared" si="12"/>
        <v>6. ATJ</v>
      </c>
      <c r="W88" s="648" t="b">
        <f t="shared" si="6"/>
        <v>1</v>
      </c>
      <c r="X88" s="122" t="b">
        <f t="shared" si="7"/>
        <v>0</v>
      </c>
      <c r="Y88" s="122" t="b">
        <f t="shared" si="8"/>
        <v>0</v>
      </c>
      <c r="Z88" s="893" t="b">
        <f t="shared" si="9"/>
        <v>0</v>
      </c>
      <c r="AA88" s="648">
        <f>IF(U88=FALSE,"",COUNTIF(U$86:U88,TRUE))</f>
        <v>3</v>
      </c>
      <c r="AB88" s="122">
        <f t="shared" ref="AB88:AB100" si="13">AB87+1</f>
        <v>3</v>
      </c>
      <c r="AC88" s="649" t="str">
        <f t="shared" si="10"/>
        <v>6. ATJ</v>
      </c>
      <c r="AE88" s="915" t="s">
        <v>11</v>
      </c>
    </row>
    <row r="89" spans="2:31" ht="13.2" customHeight="1" x14ac:dyDescent="0.25">
      <c r="B89" s="775"/>
      <c r="D89" s="123">
        <f t="shared" si="11"/>
        <v>7</v>
      </c>
      <c r="E89" s="1150"/>
      <c r="F89" s="1151"/>
      <c r="G89" s="944"/>
      <c r="H89" s="1181"/>
      <c r="I89" s="1182"/>
      <c r="J89" s="1181"/>
      <c r="K89" s="1182"/>
      <c r="L89" s="945" t="str">
        <f t="shared" si="1"/>
        <v/>
      </c>
      <c r="M89" s="945" t="str">
        <f t="shared" si="2"/>
        <v/>
      </c>
      <c r="N89" s="595" t="str">
        <f t="shared" si="3"/>
        <v/>
      </c>
      <c r="O89" s="596" t="str">
        <f t="shared" si="4"/>
        <v/>
      </c>
      <c r="S89" s="775"/>
      <c r="T89" s="786"/>
      <c r="U89" s="877" t="b">
        <f t="shared" si="5"/>
        <v>0</v>
      </c>
      <c r="V89" s="879" t="str">
        <f t="shared" si="12"/>
        <v/>
      </c>
      <c r="W89" s="648" t="b">
        <f t="shared" si="6"/>
        <v>0</v>
      </c>
      <c r="X89" s="122" t="b">
        <f t="shared" si="7"/>
        <v>0</v>
      </c>
      <c r="Y89" s="122" t="b">
        <f t="shared" si="8"/>
        <v>0</v>
      </c>
      <c r="Z89" s="893" t="b">
        <f t="shared" si="9"/>
        <v>0</v>
      </c>
      <c r="AA89" s="648" t="str">
        <f>IF(U89=FALSE,"",COUNTIF(U$86:U89,TRUE))</f>
        <v/>
      </c>
      <c r="AB89" s="122">
        <f t="shared" si="13"/>
        <v>4</v>
      </c>
      <c r="AC89" s="649" t="str">
        <f t="shared" si="10"/>
        <v/>
      </c>
      <c r="AE89" s="915" t="s">
        <v>11</v>
      </c>
    </row>
    <row r="90" spans="2:31" ht="13.2" customHeight="1" x14ac:dyDescent="0.25">
      <c r="B90" s="775"/>
      <c r="D90" s="123">
        <f t="shared" si="11"/>
        <v>8</v>
      </c>
      <c r="E90" s="1150"/>
      <c r="F90" s="1151"/>
      <c r="G90" s="944"/>
      <c r="H90" s="1181"/>
      <c r="I90" s="1182"/>
      <c r="J90" s="1181"/>
      <c r="K90" s="1182"/>
      <c r="L90" s="945" t="str">
        <f t="shared" si="1"/>
        <v/>
      </c>
      <c r="M90" s="945" t="str">
        <f t="shared" si="2"/>
        <v/>
      </c>
      <c r="N90" s="595" t="str">
        <f t="shared" si="3"/>
        <v/>
      </c>
      <c r="O90" s="596" t="str">
        <f t="shared" si="4"/>
        <v/>
      </c>
      <c r="S90" s="775"/>
      <c r="T90" s="786"/>
      <c r="U90" s="877" t="b">
        <f t="shared" si="5"/>
        <v>0</v>
      </c>
      <c r="V90" s="879" t="str">
        <f t="shared" si="12"/>
        <v/>
      </c>
      <c r="W90" s="648" t="b">
        <f t="shared" si="6"/>
        <v>0</v>
      </c>
      <c r="X90" s="122" t="b">
        <f t="shared" si="7"/>
        <v>0</v>
      </c>
      <c r="Y90" s="122" t="b">
        <f t="shared" si="8"/>
        <v>0</v>
      </c>
      <c r="Z90" s="893" t="b">
        <f t="shared" si="9"/>
        <v>0</v>
      </c>
      <c r="AA90" s="648" t="str">
        <f>IF(U90=FALSE,"",COUNTIF(U$86:U90,TRUE))</f>
        <v/>
      </c>
      <c r="AB90" s="122">
        <f t="shared" si="13"/>
        <v>5</v>
      </c>
      <c r="AC90" s="649" t="str">
        <f t="shared" si="10"/>
        <v/>
      </c>
      <c r="AE90" s="915" t="s">
        <v>11</v>
      </c>
    </row>
    <row r="91" spans="2:31" ht="13.2" customHeight="1" x14ac:dyDescent="0.25">
      <c r="B91" s="775"/>
      <c r="D91" s="123">
        <f t="shared" si="11"/>
        <v>9</v>
      </c>
      <c r="E91" s="1150"/>
      <c r="F91" s="1151"/>
      <c r="G91" s="944"/>
      <c r="H91" s="1181"/>
      <c r="I91" s="1182"/>
      <c r="J91" s="1181"/>
      <c r="K91" s="1182"/>
      <c r="L91" s="945" t="str">
        <f t="shared" si="1"/>
        <v/>
      </c>
      <c r="M91" s="945" t="str">
        <f t="shared" si="2"/>
        <v/>
      </c>
      <c r="N91" s="595" t="str">
        <f t="shared" si="3"/>
        <v/>
      </c>
      <c r="O91" s="596" t="str">
        <f t="shared" si="4"/>
        <v/>
      </c>
      <c r="S91" s="775"/>
      <c r="T91" s="786"/>
      <c r="U91" s="877" t="b">
        <f t="shared" si="5"/>
        <v>0</v>
      </c>
      <c r="V91" s="879" t="str">
        <f t="shared" si="12"/>
        <v/>
      </c>
      <c r="W91" s="648" t="b">
        <f t="shared" si="6"/>
        <v>0</v>
      </c>
      <c r="X91" s="122" t="b">
        <f t="shared" si="7"/>
        <v>0</v>
      </c>
      <c r="Y91" s="122" t="b">
        <f t="shared" si="8"/>
        <v>0</v>
      </c>
      <c r="Z91" s="893" t="b">
        <f t="shared" si="9"/>
        <v>0</v>
      </c>
      <c r="AA91" s="648" t="str">
        <f>IF(U91=FALSE,"",COUNTIF(U$86:U91,TRUE))</f>
        <v/>
      </c>
      <c r="AB91" s="122">
        <f t="shared" si="13"/>
        <v>6</v>
      </c>
      <c r="AC91" s="649" t="str">
        <f t="shared" si="10"/>
        <v/>
      </c>
      <c r="AE91" s="915" t="s">
        <v>11</v>
      </c>
    </row>
    <row r="92" spans="2:31" ht="13.2" customHeight="1" x14ac:dyDescent="0.25">
      <c r="B92" s="775"/>
      <c r="D92" s="123">
        <f t="shared" si="11"/>
        <v>10</v>
      </c>
      <c r="E92" s="1097"/>
      <c r="F92" s="1097"/>
      <c r="G92" s="944"/>
      <c r="H92" s="1181"/>
      <c r="I92" s="1182"/>
      <c r="J92" s="1181"/>
      <c r="K92" s="1182"/>
      <c r="L92" s="945" t="str">
        <f t="shared" si="1"/>
        <v/>
      </c>
      <c r="M92" s="945" t="str">
        <f t="shared" si="2"/>
        <v/>
      </c>
      <c r="N92" s="595" t="str">
        <f t="shared" si="3"/>
        <v/>
      </c>
      <c r="O92" s="596" t="str">
        <f t="shared" si="4"/>
        <v/>
      </c>
      <c r="S92" s="775"/>
      <c r="T92" s="786"/>
      <c r="U92" s="877" t="b">
        <f t="shared" si="5"/>
        <v>0</v>
      </c>
      <c r="V92" s="879" t="str">
        <f t="shared" si="12"/>
        <v/>
      </c>
      <c r="W92" s="648" t="b">
        <f t="shared" si="6"/>
        <v>0</v>
      </c>
      <c r="X92" s="122" t="b">
        <f t="shared" si="7"/>
        <v>0</v>
      </c>
      <c r="Y92" s="122" t="b">
        <f t="shared" si="8"/>
        <v>0</v>
      </c>
      <c r="Z92" s="893" t="b">
        <f t="shared" si="9"/>
        <v>0</v>
      </c>
      <c r="AA92" s="648" t="str">
        <f>IF(U92=FALSE,"",COUNTIF(U$86:U92,TRUE))</f>
        <v/>
      </c>
      <c r="AB92" s="122">
        <f t="shared" si="13"/>
        <v>7</v>
      </c>
      <c r="AC92" s="649" t="str">
        <f t="shared" si="10"/>
        <v/>
      </c>
      <c r="AE92" s="915" t="s">
        <v>11</v>
      </c>
    </row>
    <row r="93" spans="2:31" ht="13.2" customHeight="1" x14ac:dyDescent="0.25">
      <c r="B93" s="775"/>
      <c r="D93" s="123">
        <f t="shared" ref="D93:D100" si="14">D92+1</f>
        <v>11</v>
      </c>
      <c r="E93" s="1097"/>
      <c r="F93" s="1097"/>
      <c r="G93" s="944"/>
      <c r="H93" s="1181"/>
      <c r="I93" s="1182"/>
      <c r="J93" s="1181"/>
      <c r="K93" s="1182"/>
      <c r="L93" s="945" t="str">
        <f t="shared" si="1"/>
        <v/>
      </c>
      <c r="M93" s="945" t="str">
        <f t="shared" si="2"/>
        <v/>
      </c>
      <c r="N93" s="595" t="str">
        <f t="shared" si="3"/>
        <v/>
      </c>
      <c r="O93" s="596" t="str">
        <f t="shared" si="4"/>
        <v/>
      </c>
      <c r="S93" s="775"/>
      <c r="T93" s="786"/>
      <c r="U93" s="877" t="b">
        <f t="shared" si="5"/>
        <v>0</v>
      </c>
      <c r="V93" s="879" t="str">
        <f t="shared" si="12"/>
        <v/>
      </c>
      <c r="W93" s="648" t="b">
        <f t="shared" si="6"/>
        <v>0</v>
      </c>
      <c r="X93" s="122" t="b">
        <f t="shared" si="7"/>
        <v>0</v>
      </c>
      <c r="Y93" s="122" t="b">
        <f t="shared" si="8"/>
        <v>0</v>
      </c>
      <c r="Z93" s="893" t="b">
        <f t="shared" si="9"/>
        <v>0</v>
      </c>
      <c r="AA93" s="648" t="str">
        <f>IF(U93=FALSE,"",COUNTIF(U$86:U93,TRUE))</f>
        <v/>
      </c>
      <c r="AB93" s="122">
        <f t="shared" si="13"/>
        <v>8</v>
      </c>
      <c r="AC93" s="649" t="str">
        <f t="shared" si="10"/>
        <v/>
      </c>
      <c r="AE93" s="915" t="s">
        <v>11</v>
      </c>
    </row>
    <row r="94" spans="2:31" ht="13.2" customHeight="1" x14ac:dyDescent="0.25">
      <c r="B94" s="775"/>
      <c r="D94" s="123">
        <f t="shared" si="14"/>
        <v>12</v>
      </c>
      <c r="E94" s="1097"/>
      <c r="F94" s="1097"/>
      <c r="G94" s="944"/>
      <c r="H94" s="1181"/>
      <c r="I94" s="1182"/>
      <c r="J94" s="1181"/>
      <c r="K94" s="1182"/>
      <c r="L94" s="945" t="str">
        <f t="shared" si="1"/>
        <v/>
      </c>
      <c r="M94" s="945" t="str">
        <f t="shared" si="2"/>
        <v/>
      </c>
      <c r="N94" s="595" t="str">
        <f t="shared" si="3"/>
        <v/>
      </c>
      <c r="O94" s="596" t="str">
        <f t="shared" si="4"/>
        <v/>
      </c>
      <c r="S94" s="775"/>
      <c r="T94" s="786"/>
      <c r="U94" s="877" t="b">
        <f t="shared" si="5"/>
        <v>0</v>
      </c>
      <c r="V94" s="879" t="str">
        <f t="shared" si="12"/>
        <v/>
      </c>
      <c r="W94" s="648" t="b">
        <f t="shared" si="6"/>
        <v>0</v>
      </c>
      <c r="X94" s="122" t="b">
        <f t="shared" si="7"/>
        <v>0</v>
      </c>
      <c r="Y94" s="122" t="b">
        <f t="shared" si="8"/>
        <v>0</v>
      </c>
      <c r="Z94" s="893" t="b">
        <f t="shared" si="9"/>
        <v>0</v>
      </c>
      <c r="AA94" s="648" t="str">
        <f>IF(U94=FALSE,"",COUNTIF(U$86:U94,TRUE))</f>
        <v/>
      </c>
      <c r="AB94" s="122">
        <f t="shared" si="13"/>
        <v>9</v>
      </c>
      <c r="AC94" s="649" t="str">
        <f t="shared" si="10"/>
        <v/>
      </c>
      <c r="AE94" s="915" t="s">
        <v>11</v>
      </c>
    </row>
    <row r="95" spans="2:31" ht="13.2" customHeight="1" x14ac:dyDescent="0.25">
      <c r="B95" s="775"/>
      <c r="D95" s="123">
        <f t="shared" si="14"/>
        <v>13</v>
      </c>
      <c r="E95" s="1097"/>
      <c r="F95" s="1097"/>
      <c r="G95" s="944"/>
      <c r="H95" s="1181"/>
      <c r="I95" s="1182"/>
      <c r="J95" s="1181"/>
      <c r="K95" s="1182"/>
      <c r="L95" s="945" t="str">
        <f t="shared" si="1"/>
        <v/>
      </c>
      <c r="M95" s="945" t="str">
        <f t="shared" si="2"/>
        <v/>
      </c>
      <c r="N95" s="595" t="str">
        <f t="shared" si="3"/>
        <v/>
      </c>
      <c r="O95" s="596" t="str">
        <f t="shared" si="4"/>
        <v/>
      </c>
      <c r="S95" s="775"/>
      <c r="T95" s="786"/>
      <c r="U95" s="877" t="b">
        <f t="shared" si="5"/>
        <v>0</v>
      </c>
      <c r="V95" s="879" t="str">
        <f t="shared" si="12"/>
        <v/>
      </c>
      <c r="W95" s="648" t="b">
        <f t="shared" si="6"/>
        <v>0</v>
      </c>
      <c r="X95" s="122" t="b">
        <f t="shared" si="7"/>
        <v>0</v>
      </c>
      <c r="Y95" s="122" t="b">
        <f t="shared" si="8"/>
        <v>0</v>
      </c>
      <c r="Z95" s="893" t="b">
        <f t="shared" si="9"/>
        <v>0</v>
      </c>
      <c r="AA95" s="648" t="str">
        <f>IF(U95=FALSE,"",COUNTIF(U$86:U95,TRUE))</f>
        <v/>
      </c>
      <c r="AB95" s="122">
        <f t="shared" si="13"/>
        <v>10</v>
      </c>
      <c r="AC95" s="649" t="str">
        <f t="shared" si="10"/>
        <v/>
      </c>
      <c r="AE95" s="915" t="s">
        <v>11</v>
      </c>
    </row>
    <row r="96" spans="2:31" ht="13.2" customHeight="1" x14ac:dyDescent="0.25">
      <c r="B96" s="775"/>
      <c r="D96" s="123">
        <f t="shared" si="14"/>
        <v>14</v>
      </c>
      <c r="E96" s="1097"/>
      <c r="F96" s="1097"/>
      <c r="G96" s="944"/>
      <c r="H96" s="1181"/>
      <c r="I96" s="1182"/>
      <c r="J96" s="1181"/>
      <c r="K96" s="1182"/>
      <c r="L96" s="945" t="str">
        <f t="shared" si="1"/>
        <v/>
      </c>
      <c r="M96" s="945" t="str">
        <f t="shared" si="2"/>
        <v/>
      </c>
      <c r="N96" s="595" t="str">
        <f t="shared" si="3"/>
        <v/>
      </c>
      <c r="O96" s="596" t="str">
        <f t="shared" si="4"/>
        <v/>
      </c>
      <c r="S96" s="775"/>
      <c r="T96" s="786"/>
      <c r="U96" s="877" t="b">
        <f t="shared" si="5"/>
        <v>0</v>
      </c>
      <c r="V96" s="879" t="str">
        <f t="shared" si="12"/>
        <v/>
      </c>
      <c r="W96" s="648" t="b">
        <f t="shared" si="6"/>
        <v>0</v>
      </c>
      <c r="X96" s="122" t="b">
        <f t="shared" si="7"/>
        <v>0</v>
      </c>
      <c r="Y96" s="122" t="b">
        <f t="shared" si="8"/>
        <v>0</v>
      </c>
      <c r="Z96" s="893" t="b">
        <f t="shared" si="9"/>
        <v>0</v>
      </c>
      <c r="AA96" s="648" t="str">
        <f>IF(U96=FALSE,"",COUNTIF(U$86:U96,TRUE))</f>
        <v/>
      </c>
      <c r="AB96" s="122">
        <f t="shared" si="13"/>
        <v>11</v>
      </c>
      <c r="AC96" s="649" t="str">
        <f t="shared" si="10"/>
        <v/>
      </c>
      <c r="AE96" s="915" t="s">
        <v>11</v>
      </c>
    </row>
    <row r="97" spans="1:32" ht="13.2" customHeight="1" x14ac:dyDescent="0.25">
      <c r="B97" s="775"/>
      <c r="D97" s="123">
        <f t="shared" si="14"/>
        <v>15</v>
      </c>
      <c r="E97" s="1097"/>
      <c r="F97" s="1097"/>
      <c r="G97" s="944"/>
      <c r="H97" s="1181"/>
      <c r="I97" s="1182"/>
      <c r="J97" s="1181"/>
      <c r="K97" s="1182"/>
      <c r="L97" s="945" t="str">
        <f t="shared" si="1"/>
        <v/>
      </c>
      <c r="M97" s="945" t="str">
        <f t="shared" si="2"/>
        <v/>
      </c>
      <c r="N97" s="595" t="str">
        <f t="shared" si="3"/>
        <v/>
      </c>
      <c r="O97" s="596" t="str">
        <f t="shared" si="4"/>
        <v/>
      </c>
      <c r="S97" s="775"/>
      <c r="T97" s="786"/>
      <c r="U97" s="877" t="b">
        <f t="shared" si="5"/>
        <v>0</v>
      </c>
      <c r="V97" s="879" t="str">
        <f t="shared" si="12"/>
        <v/>
      </c>
      <c r="W97" s="648" t="b">
        <f t="shared" si="6"/>
        <v>0</v>
      </c>
      <c r="X97" s="122" t="b">
        <f t="shared" si="7"/>
        <v>0</v>
      </c>
      <c r="Y97" s="122" t="b">
        <f t="shared" si="8"/>
        <v>0</v>
      </c>
      <c r="Z97" s="893" t="b">
        <f t="shared" si="9"/>
        <v>0</v>
      </c>
      <c r="AA97" s="648" t="str">
        <f>IF(U97=FALSE,"",COUNTIF(U$86:U97,TRUE))</f>
        <v/>
      </c>
      <c r="AB97" s="122">
        <f t="shared" si="13"/>
        <v>12</v>
      </c>
      <c r="AC97" s="649" t="str">
        <f t="shared" si="10"/>
        <v/>
      </c>
      <c r="AE97" s="915" t="s">
        <v>11</v>
      </c>
    </row>
    <row r="98" spans="1:32" ht="13.2" customHeight="1" thickBot="1" x14ac:dyDescent="0.3">
      <c r="B98" s="775"/>
      <c r="D98" s="641">
        <f t="shared" si="14"/>
        <v>16</v>
      </c>
      <c r="E98" s="1183"/>
      <c r="F98" s="1183"/>
      <c r="G98" s="946"/>
      <c r="H98" s="1177"/>
      <c r="I98" s="1178"/>
      <c r="J98" s="1177"/>
      <c r="K98" s="1178"/>
      <c r="L98" s="947" t="str">
        <f t="shared" si="1"/>
        <v/>
      </c>
      <c r="M98" s="947" t="str">
        <f t="shared" si="2"/>
        <v/>
      </c>
      <c r="N98" s="642" t="str">
        <f t="shared" si="3"/>
        <v/>
      </c>
      <c r="O98" s="643" t="str">
        <f t="shared" si="4"/>
        <v/>
      </c>
      <c r="S98" s="775"/>
      <c r="T98" s="786"/>
      <c r="U98" s="877" t="b">
        <f t="shared" si="5"/>
        <v>0</v>
      </c>
      <c r="V98" s="879" t="str">
        <f t="shared" si="12"/>
        <v/>
      </c>
      <c r="W98" s="648" t="b">
        <f t="shared" si="6"/>
        <v>0</v>
      </c>
      <c r="X98" s="122" t="b">
        <f t="shared" si="7"/>
        <v>0</v>
      </c>
      <c r="Y98" s="122" t="b">
        <f t="shared" si="8"/>
        <v>0</v>
      </c>
      <c r="Z98" s="893" t="b">
        <f t="shared" si="9"/>
        <v>0</v>
      </c>
      <c r="AA98" s="648" t="str">
        <f>IF(U98=FALSE,"",COUNTIF(U$86:U98,TRUE))</f>
        <v/>
      </c>
      <c r="AB98" s="122">
        <f t="shared" si="13"/>
        <v>13</v>
      </c>
      <c r="AC98" s="649" t="str">
        <f t="shared" si="10"/>
        <v/>
      </c>
      <c r="AE98" s="915" t="s">
        <v>11</v>
      </c>
    </row>
    <row r="99" spans="1:32" ht="13.2" customHeight="1" x14ac:dyDescent="0.25">
      <c r="B99" s="775"/>
      <c r="D99" s="640">
        <f>D98+1</f>
        <v>17</v>
      </c>
      <c r="E99" s="1184"/>
      <c r="F99" s="1184"/>
      <c r="G99" s="944"/>
      <c r="H99" s="1179"/>
      <c r="I99" s="1180"/>
      <c r="J99" s="1204" t="s">
        <v>130</v>
      </c>
      <c r="K99" s="1205"/>
      <c r="L99" s="948"/>
      <c r="M99" s="948"/>
      <c r="N99" s="842"/>
      <c r="O99" s="843"/>
      <c r="S99" s="775"/>
      <c r="T99" s="786"/>
      <c r="U99" s="877" t="b">
        <f>AND(E99&lt;&gt;"",G99&lt;&gt;"",ISNUMBER(L99),ISNUMBER(M99),N99&lt;&gt;"",O99&lt;&gt;"")</f>
        <v>0</v>
      </c>
      <c r="V99" s="879" t="str">
        <f t="shared" si="12"/>
        <v/>
      </c>
      <c r="W99" s="648" t="b">
        <f t="shared" si="6"/>
        <v>0</v>
      </c>
      <c r="X99" s="122" t="b">
        <f t="shared" si="7"/>
        <v>0</v>
      </c>
      <c r="Y99" s="122" t="b">
        <f t="shared" si="8"/>
        <v>0</v>
      </c>
      <c r="Z99" s="893" t="b">
        <f t="shared" si="9"/>
        <v>0</v>
      </c>
      <c r="AA99" s="648" t="str">
        <f>IF(U99=FALSE,"",COUNTIF(U$86:U99,TRUE))</f>
        <v/>
      </c>
      <c r="AB99" s="122">
        <f t="shared" si="13"/>
        <v>14</v>
      </c>
      <c r="AC99" s="649" t="str">
        <f t="shared" si="10"/>
        <v/>
      </c>
      <c r="AE99" s="915" t="s">
        <v>11</v>
      </c>
    </row>
    <row r="100" spans="1:32" ht="13.2" customHeight="1" thickBot="1" x14ac:dyDescent="0.3">
      <c r="B100" s="775"/>
      <c r="D100" s="123">
        <f t="shared" si="14"/>
        <v>18</v>
      </c>
      <c r="E100" s="1097"/>
      <c r="F100" s="1097"/>
      <c r="G100" s="944"/>
      <c r="H100" s="1181"/>
      <c r="I100" s="1182"/>
      <c r="J100" s="1197" t="s">
        <v>130</v>
      </c>
      <c r="K100" s="1198"/>
      <c r="L100" s="949"/>
      <c r="M100" s="949"/>
      <c r="N100" s="844"/>
      <c r="O100" s="845"/>
      <c r="S100" s="775"/>
      <c r="T100" s="786"/>
      <c r="U100" s="878" t="b">
        <f>AND(E100&lt;&gt;"",G100&lt;&gt;"",ISNUMBER(L100),ISNUMBER(M100),N100&lt;&gt;"",O100&lt;&gt;"")</f>
        <v>0</v>
      </c>
      <c r="V100" s="880" t="str">
        <f t="shared" si="12"/>
        <v/>
      </c>
      <c r="W100" s="650" t="b">
        <f t="shared" si="6"/>
        <v>0</v>
      </c>
      <c r="X100" s="651" t="b">
        <f t="shared" si="7"/>
        <v>0</v>
      </c>
      <c r="Y100" s="651" t="b">
        <f t="shared" si="8"/>
        <v>0</v>
      </c>
      <c r="Z100" s="894" t="b">
        <f t="shared" si="9"/>
        <v>0</v>
      </c>
      <c r="AA100" s="650" t="str">
        <f>IF(U100=FALSE,"",COUNTIF(U$86:U100,TRUE))</f>
        <v/>
      </c>
      <c r="AB100" s="651">
        <f t="shared" si="13"/>
        <v>15</v>
      </c>
      <c r="AC100" s="652" t="str">
        <f t="shared" si="10"/>
        <v/>
      </c>
      <c r="AE100" s="915" t="s">
        <v>11</v>
      </c>
    </row>
    <row r="101" spans="1:32" ht="13.2" hidden="1" customHeight="1" x14ac:dyDescent="0.25">
      <c r="A101" s="124" t="s">
        <v>38</v>
      </c>
      <c r="B101" s="775"/>
      <c r="D101" s="123" t="s">
        <v>82</v>
      </c>
      <c r="E101" s="123" t="s">
        <v>82</v>
      </c>
      <c r="F101" s="123" t="s">
        <v>82</v>
      </c>
      <c r="G101" s="123" t="s">
        <v>82</v>
      </c>
      <c r="H101" s="123" t="s">
        <v>82</v>
      </c>
      <c r="I101" s="123" t="s">
        <v>82</v>
      </c>
      <c r="J101" s="123" t="s">
        <v>82</v>
      </c>
      <c r="K101" s="123" t="s">
        <v>82</v>
      </c>
      <c r="L101" s="123" t="s">
        <v>82</v>
      </c>
      <c r="M101" s="123" t="s">
        <v>82</v>
      </c>
      <c r="N101" s="123" t="s">
        <v>82</v>
      </c>
      <c r="O101" s="123" t="s">
        <v>82</v>
      </c>
      <c r="S101" s="775"/>
      <c r="T101" s="786"/>
      <c r="U101" s="891"/>
      <c r="V101" s="891"/>
      <c r="W101" s="891"/>
      <c r="X101" s="891"/>
      <c r="Y101" s="891"/>
      <c r="Z101" s="891"/>
      <c r="AA101" s="891"/>
      <c r="AB101" s="891"/>
      <c r="AC101" s="891"/>
      <c r="AE101" s="915"/>
      <c r="AF101" s="312" t="s">
        <v>2056</v>
      </c>
    </row>
    <row r="102" spans="1:32" x14ac:dyDescent="0.25">
      <c r="B102" s="775"/>
      <c r="D102" s="1190" t="s">
        <v>2057</v>
      </c>
      <c r="E102" s="1190"/>
      <c r="F102" s="1190"/>
      <c r="G102" s="1190"/>
      <c r="H102" s="1190"/>
      <c r="I102" s="1190"/>
      <c r="J102" s="1190"/>
      <c r="K102" s="1190"/>
      <c r="L102" s="80"/>
      <c r="M102" s="80"/>
      <c r="S102" s="775"/>
      <c r="T102" s="786"/>
      <c r="AE102" s="915" t="s">
        <v>11</v>
      </c>
      <c r="AF102" s="312" t="s">
        <v>2058</v>
      </c>
    </row>
    <row r="103" spans="1:32" x14ac:dyDescent="0.25">
      <c r="B103" s="775"/>
      <c r="S103" s="775"/>
      <c r="T103" s="786"/>
      <c r="V103" s="124" t="s">
        <v>1979</v>
      </c>
      <c r="AB103" s="124" t="s">
        <v>1976</v>
      </c>
      <c r="AC103" s="871" t="str">
        <f ca="1">ADDRESS(ROW(AC83),COLUMN(AC83),,, AC80) &amp; ":" &amp; ADDRESS(ROW(AC85)+MAX(AA86:AA100),COLUMN(AC85))</f>
        <v>'Emissions overview'!$AC$83:$AC$88</v>
      </c>
      <c r="AE103" s="915" t="s">
        <v>11</v>
      </c>
    </row>
    <row r="104" spans="1:32" x14ac:dyDescent="0.25">
      <c r="B104" s="775"/>
      <c r="S104" s="775"/>
    </row>
    <row r="105" spans="1:32" x14ac:dyDescent="0.25">
      <c r="B105" s="775"/>
      <c r="C105" s="60" t="s">
        <v>159</v>
      </c>
      <c r="D105" s="1104" t="str">
        <f>Translations!$B$1118</f>
        <v>Further information on alternative fuels:</v>
      </c>
      <c r="E105" s="960"/>
      <c r="F105" s="960"/>
      <c r="G105" s="960"/>
      <c r="H105" s="960"/>
      <c r="I105" s="960"/>
      <c r="J105" s="960"/>
      <c r="K105" s="960"/>
      <c r="L105" s="960"/>
      <c r="M105" s="960"/>
      <c r="N105" s="960"/>
      <c r="O105" s="960"/>
      <c r="P105" s="960"/>
      <c r="Q105" s="960"/>
      <c r="R105" s="917"/>
      <c r="S105" s="775"/>
    </row>
    <row r="106" spans="1:32" ht="26.4" customHeight="1" x14ac:dyDescent="0.25">
      <c r="B106" s="775"/>
      <c r="C106" s="53"/>
      <c r="D106" s="1119" t="s">
        <v>2085</v>
      </c>
      <c r="E106" s="1119"/>
      <c r="F106" s="1119"/>
      <c r="G106" s="1119"/>
      <c r="H106" s="1119"/>
      <c r="I106" s="1119"/>
      <c r="J106" s="1119"/>
      <c r="K106" s="1119"/>
      <c r="L106" s="960"/>
      <c r="M106" s="960"/>
      <c r="N106" s="960"/>
      <c r="O106" s="960"/>
      <c r="P106" s="960"/>
      <c r="Q106" s="960"/>
      <c r="R106" s="917"/>
      <c r="S106" s="775"/>
      <c r="V106" s="661"/>
      <c r="AE106" s="914" t="s">
        <v>13</v>
      </c>
      <c r="AF106" s="312" t="s">
        <v>2086</v>
      </c>
    </row>
    <row r="107" spans="1:32" ht="13.2" customHeight="1" x14ac:dyDescent="0.25">
      <c r="B107" s="775"/>
      <c r="C107" s="53"/>
      <c r="D107" s="1208" t="s">
        <v>1947</v>
      </c>
      <c r="E107" s="1208"/>
      <c r="F107" s="1208"/>
      <c r="G107" s="1208"/>
      <c r="H107" s="1208"/>
      <c r="I107" s="1208"/>
      <c r="J107" s="1208"/>
      <c r="K107" s="1208"/>
      <c r="L107" s="1171"/>
      <c r="M107" s="1171"/>
      <c r="N107" s="1171"/>
      <c r="O107" s="1171"/>
      <c r="P107" s="1171"/>
      <c r="Q107" s="1171"/>
      <c r="R107" s="923"/>
      <c r="S107" s="775"/>
      <c r="AE107" s="914" t="s">
        <v>13</v>
      </c>
    </row>
    <row r="108" spans="1:32" ht="4.95" customHeight="1" x14ac:dyDescent="0.25">
      <c r="B108" s="775"/>
      <c r="C108" s="811"/>
      <c r="D108" s="841"/>
      <c r="E108" s="841"/>
      <c r="F108" s="841"/>
      <c r="G108" s="841"/>
      <c r="H108" s="841"/>
      <c r="I108" s="841"/>
      <c r="J108" s="841"/>
      <c r="K108" s="841"/>
      <c r="L108" s="810"/>
      <c r="M108" s="810"/>
      <c r="N108" s="810"/>
      <c r="O108" s="810"/>
      <c r="P108" s="810"/>
      <c r="Q108" s="810"/>
      <c r="R108" s="923"/>
      <c r="S108" s="775"/>
    </row>
    <row r="109" spans="1:32" ht="38.700000000000003" customHeight="1" x14ac:dyDescent="0.25">
      <c r="B109" s="775"/>
      <c r="D109" s="52" t="str">
        <f>Translations!$B$914</f>
        <v>Fuel No.</v>
      </c>
      <c r="E109" s="1185" t="str">
        <f>Translations!$B$915</f>
        <v>Name of fuel</v>
      </c>
      <c r="F109" s="1093"/>
      <c r="G109" s="1199" t="str">
        <f>Translations!$B$1122</f>
        <v>Feedstock</v>
      </c>
      <c r="H109" s="982"/>
      <c r="I109" s="982"/>
      <c r="J109" s="1199" t="str">
        <f>Translations!$B$1123</f>
        <v>Conversion process</v>
      </c>
      <c r="K109" s="982"/>
      <c r="L109" s="982"/>
      <c r="M109" s="982"/>
      <c r="N109" s="982"/>
      <c r="O109" s="982"/>
      <c r="P109" s="52" t="s">
        <v>1939</v>
      </c>
      <c r="Q109" s="52" t="s">
        <v>1911</v>
      </c>
      <c r="R109" s="929"/>
      <c r="S109" s="775"/>
      <c r="T109" s="312"/>
      <c r="V109" s="661"/>
      <c r="AE109" s="914" t="s">
        <v>13</v>
      </c>
    </row>
    <row r="110" spans="1:32" ht="13.35" customHeight="1" x14ac:dyDescent="0.25">
      <c r="B110" s="485"/>
      <c r="D110" s="123">
        <f t="shared" ref="D110:D124" si="15">D86</f>
        <v>4</v>
      </c>
      <c r="E110" s="1152" t="str">
        <f t="shared" ref="E110:E124" si="16">INDEX(CNTR_FuelListNames,D110-3)</f>
        <v>4. HEFA</v>
      </c>
      <c r="F110" s="1153"/>
      <c r="G110" s="1181"/>
      <c r="H110" s="1155"/>
      <c r="I110" s="1155"/>
      <c r="J110" s="1181"/>
      <c r="K110" s="1155"/>
      <c r="L110" s="1155"/>
      <c r="M110" s="1155"/>
      <c r="N110" s="1155"/>
      <c r="O110" s="1155"/>
      <c r="P110" s="838"/>
      <c r="Q110" s="828"/>
      <c r="R110" s="929"/>
      <c r="S110" s="485"/>
      <c r="T110" s="312"/>
      <c r="V110" s="661"/>
      <c r="AE110" s="914" t="s">
        <v>13</v>
      </c>
    </row>
    <row r="111" spans="1:32" ht="12.75" customHeight="1" x14ac:dyDescent="0.25">
      <c r="B111" s="485"/>
      <c r="D111" s="123">
        <f t="shared" si="15"/>
        <v>5</v>
      </c>
      <c r="E111" s="1152" t="str">
        <f t="shared" si="16"/>
        <v>5. RFNBO EDDF</v>
      </c>
      <c r="F111" s="1153"/>
      <c r="G111" s="1181"/>
      <c r="H111" s="1155"/>
      <c r="I111" s="1155"/>
      <c r="J111" s="1181"/>
      <c r="K111" s="1155"/>
      <c r="L111" s="1155"/>
      <c r="M111" s="1155"/>
      <c r="N111" s="1155"/>
      <c r="O111" s="1155"/>
      <c r="P111" s="838"/>
      <c r="Q111" s="828"/>
      <c r="R111" s="929"/>
      <c r="S111" s="485"/>
      <c r="T111" s="312"/>
      <c r="V111" s="661"/>
      <c r="AE111" s="914" t="s">
        <v>13</v>
      </c>
    </row>
    <row r="112" spans="1:32" ht="12.75" customHeight="1" x14ac:dyDescent="0.25">
      <c r="B112" s="485"/>
      <c r="D112" s="123">
        <f t="shared" si="15"/>
        <v>6</v>
      </c>
      <c r="E112" s="1152" t="str">
        <f t="shared" si="16"/>
        <v>6. ATJ</v>
      </c>
      <c r="F112" s="1153"/>
      <c r="G112" s="1181"/>
      <c r="H112" s="1155"/>
      <c r="I112" s="1155"/>
      <c r="J112" s="1181"/>
      <c r="K112" s="1155"/>
      <c r="L112" s="1155"/>
      <c r="M112" s="1155"/>
      <c r="N112" s="1155"/>
      <c r="O112" s="1155"/>
      <c r="P112" s="838"/>
      <c r="Q112" s="828"/>
      <c r="R112" s="929"/>
      <c r="S112" s="485"/>
      <c r="T112" s="312"/>
      <c r="AE112" s="914" t="s">
        <v>13</v>
      </c>
    </row>
    <row r="113" spans="1:32" x14ac:dyDescent="0.25">
      <c r="B113" s="485"/>
      <c r="D113" s="123">
        <f t="shared" si="15"/>
        <v>7</v>
      </c>
      <c r="E113" s="1152" t="str">
        <f t="shared" si="16"/>
        <v/>
      </c>
      <c r="F113" s="1153"/>
      <c r="G113" s="1154"/>
      <c r="H113" s="1155"/>
      <c r="I113" s="1155"/>
      <c r="J113" s="1154"/>
      <c r="K113" s="1155"/>
      <c r="L113" s="1155"/>
      <c r="M113" s="1155"/>
      <c r="N113" s="1155"/>
      <c r="O113" s="1155"/>
      <c r="P113" s="838"/>
      <c r="Q113" s="828"/>
      <c r="R113" s="929"/>
      <c r="S113" s="485"/>
      <c r="T113" s="312"/>
      <c r="AE113" s="914" t="s">
        <v>13</v>
      </c>
    </row>
    <row r="114" spans="1:32" x14ac:dyDescent="0.25">
      <c r="B114" s="485"/>
      <c r="D114" s="123">
        <f t="shared" si="15"/>
        <v>8</v>
      </c>
      <c r="E114" s="1152" t="str">
        <f t="shared" si="16"/>
        <v/>
      </c>
      <c r="F114" s="1153"/>
      <c r="G114" s="1154"/>
      <c r="H114" s="1155"/>
      <c r="I114" s="1155"/>
      <c r="J114" s="1154"/>
      <c r="K114" s="1155"/>
      <c r="L114" s="1155"/>
      <c r="M114" s="1155"/>
      <c r="N114" s="1155"/>
      <c r="O114" s="1155"/>
      <c r="P114" s="838"/>
      <c r="Q114" s="828"/>
      <c r="R114" s="929"/>
      <c r="S114" s="485"/>
      <c r="T114" s="312"/>
      <c r="AE114" s="914" t="s">
        <v>13</v>
      </c>
    </row>
    <row r="115" spans="1:32" x14ac:dyDescent="0.25">
      <c r="B115" s="485"/>
      <c r="D115" s="123">
        <f t="shared" si="15"/>
        <v>9</v>
      </c>
      <c r="E115" s="1152" t="str">
        <f t="shared" si="16"/>
        <v/>
      </c>
      <c r="F115" s="1153"/>
      <c r="G115" s="1154"/>
      <c r="H115" s="1155"/>
      <c r="I115" s="1155"/>
      <c r="J115" s="1154"/>
      <c r="K115" s="1155"/>
      <c r="L115" s="1155"/>
      <c r="M115" s="1155"/>
      <c r="N115" s="1155"/>
      <c r="O115" s="1155"/>
      <c r="P115" s="838"/>
      <c r="Q115" s="828"/>
      <c r="R115" s="929"/>
      <c r="S115" s="485"/>
      <c r="T115" s="312"/>
      <c r="AE115" s="914" t="s">
        <v>13</v>
      </c>
    </row>
    <row r="116" spans="1:32" x14ac:dyDescent="0.25">
      <c r="B116" s="485"/>
      <c r="D116" s="123">
        <f t="shared" si="15"/>
        <v>10</v>
      </c>
      <c r="E116" s="1152" t="str">
        <f t="shared" si="16"/>
        <v/>
      </c>
      <c r="F116" s="1153"/>
      <c r="G116" s="1154"/>
      <c r="H116" s="1155"/>
      <c r="I116" s="1155"/>
      <c r="J116" s="1154"/>
      <c r="K116" s="1155"/>
      <c r="L116" s="1155"/>
      <c r="M116" s="1155"/>
      <c r="N116" s="1155"/>
      <c r="O116" s="1155"/>
      <c r="P116" s="838"/>
      <c r="Q116" s="828"/>
      <c r="R116" s="929"/>
      <c r="S116" s="485"/>
      <c r="T116" s="312"/>
      <c r="AE116" s="914" t="s">
        <v>13</v>
      </c>
    </row>
    <row r="117" spans="1:32" x14ac:dyDescent="0.25">
      <c r="B117" s="485"/>
      <c r="D117" s="123">
        <f t="shared" si="15"/>
        <v>11</v>
      </c>
      <c r="E117" s="1152" t="str">
        <f t="shared" si="16"/>
        <v/>
      </c>
      <c r="F117" s="1153"/>
      <c r="G117" s="1154"/>
      <c r="H117" s="1155"/>
      <c r="I117" s="1155"/>
      <c r="J117" s="1154"/>
      <c r="K117" s="1155"/>
      <c r="L117" s="1155"/>
      <c r="M117" s="1155"/>
      <c r="N117" s="1155"/>
      <c r="O117" s="1155"/>
      <c r="P117" s="838"/>
      <c r="Q117" s="828"/>
      <c r="R117" s="929"/>
      <c r="S117" s="485"/>
      <c r="T117" s="312"/>
      <c r="AE117" s="914" t="s">
        <v>13</v>
      </c>
    </row>
    <row r="118" spans="1:32" x14ac:dyDescent="0.25">
      <c r="B118" s="485"/>
      <c r="D118" s="123">
        <f t="shared" si="15"/>
        <v>12</v>
      </c>
      <c r="E118" s="1152" t="str">
        <f t="shared" si="16"/>
        <v/>
      </c>
      <c r="F118" s="1153"/>
      <c r="G118" s="1154"/>
      <c r="H118" s="1155"/>
      <c r="I118" s="1155"/>
      <c r="J118" s="1154"/>
      <c r="K118" s="1155"/>
      <c r="L118" s="1155"/>
      <c r="M118" s="1155"/>
      <c r="N118" s="1155"/>
      <c r="O118" s="1155"/>
      <c r="P118" s="838"/>
      <c r="Q118" s="828"/>
      <c r="R118" s="929"/>
      <c r="S118" s="485"/>
      <c r="T118" s="312"/>
      <c r="AE118" s="914" t="s">
        <v>13</v>
      </c>
    </row>
    <row r="119" spans="1:32" x14ac:dyDescent="0.25">
      <c r="B119" s="485"/>
      <c r="D119" s="123">
        <f t="shared" si="15"/>
        <v>13</v>
      </c>
      <c r="E119" s="1152" t="str">
        <f t="shared" si="16"/>
        <v/>
      </c>
      <c r="F119" s="1153"/>
      <c r="G119" s="1154"/>
      <c r="H119" s="1155"/>
      <c r="I119" s="1155"/>
      <c r="J119" s="1154"/>
      <c r="K119" s="1155"/>
      <c r="L119" s="1155"/>
      <c r="M119" s="1155"/>
      <c r="N119" s="1155"/>
      <c r="O119" s="1155"/>
      <c r="P119" s="838"/>
      <c r="Q119" s="828"/>
      <c r="R119" s="929"/>
      <c r="S119" s="485"/>
      <c r="T119" s="312"/>
      <c r="AE119" s="914" t="s">
        <v>13</v>
      </c>
    </row>
    <row r="120" spans="1:32" x14ac:dyDescent="0.25">
      <c r="B120" s="485"/>
      <c r="D120" s="123">
        <f t="shared" si="15"/>
        <v>14</v>
      </c>
      <c r="E120" s="1152" t="str">
        <f t="shared" si="16"/>
        <v/>
      </c>
      <c r="F120" s="1153"/>
      <c r="G120" s="1154"/>
      <c r="H120" s="1155"/>
      <c r="I120" s="1155"/>
      <c r="J120" s="1154"/>
      <c r="K120" s="1155"/>
      <c r="L120" s="1155"/>
      <c r="M120" s="1155"/>
      <c r="N120" s="1155"/>
      <c r="O120" s="1155"/>
      <c r="P120" s="838"/>
      <c r="Q120" s="828"/>
      <c r="R120" s="929"/>
      <c r="S120" s="485"/>
      <c r="T120" s="312"/>
      <c r="AE120" s="914" t="s">
        <v>13</v>
      </c>
    </row>
    <row r="121" spans="1:32" x14ac:dyDescent="0.25">
      <c r="B121" s="485"/>
      <c r="D121" s="123">
        <f t="shared" si="15"/>
        <v>15</v>
      </c>
      <c r="E121" s="1152" t="str">
        <f t="shared" si="16"/>
        <v/>
      </c>
      <c r="F121" s="1153"/>
      <c r="G121" s="1154"/>
      <c r="H121" s="1155"/>
      <c r="I121" s="1155"/>
      <c r="J121" s="1154"/>
      <c r="K121" s="1155"/>
      <c r="L121" s="1155"/>
      <c r="M121" s="1155"/>
      <c r="N121" s="1155"/>
      <c r="O121" s="1155"/>
      <c r="P121" s="838"/>
      <c r="Q121" s="828"/>
      <c r="R121" s="929"/>
      <c r="S121" s="485"/>
      <c r="T121" s="312"/>
      <c r="AE121" s="914" t="s">
        <v>13</v>
      </c>
    </row>
    <row r="122" spans="1:32" x14ac:dyDescent="0.25">
      <c r="B122" s="485"/>
      <c r="D122" s="123">
        <f t="shared" si="15"/>
        <v>16</v>
      </c>
      <c r="E122" s="1152" t="str">
        <f t="shared" si="16"/>
        <v/>
      </c>
      <c r="F122" s="1153"/>
      <c r="G122" s="1154"/>
      <c r="H122" s="1155"/>
      <c r="I122" s="1155"/>
      <c r="J122" s="1154"/>
      <c r="K122" s="1155"/>
      <c r="L122" s="1155"/>
      <c r="M122" s="1155"/>
      <c r="N122" s="1155"/>
      <c r="O122" s="1155"/>
      <c r="P122" s="838"/>
      <c r="Q122" s="828"/>
      <c r="R122" s="929"/>
      <c r="S122" s="485"/>
      <c r="T122" s="312"/>
      <c r="AE122" s="914" t="s">
        <v>13</v>
      </c>
    </row>
    <row r="123" spans="1:32" x14ac:dyDescent="0.25">
      <c r="B123" s="485"/>
      <c r="D123" s="123">
        <f t="shared" si="15"/>
        <v>17</v>
      </c>
      <c r="E123" s="1152" t="str">
        <f t="shared" si="16"/>
        <v/>
      </c>
      <c r="F123" s="1153"/>
      <c r="G123" s="1154"/>
      <c r="H123" s="1155"/>
      <c r="I123" s="1155"/>
      <c r="J123" s="1154"/>
      <c r="K123" s="1155"/>
      <c r="L123" s="1155"/>
      <c r="M123" s="1155"/>
      <c r="N123" s="1155"/>
      <c r="O123" s="1155"/>
      <c r="P123" s="838"/>
      <c r="Q123" s="828"/>
      <c r="R123" s="929"/>
      <c r="S123" s="485"/>
      <c r="T123" s="312"/>
      <c r="AE123" s="914" t="s">
        <v>13</v>
      </c>
    </row>
    <row r="124" spans="1:32" x14ac:dyDescent="0.25">
      <c r="B124" s="485"/>
      <c r="D124" s="123">
        <f t="shared" si="15"/>
        <v>18</v>
      </c>
      <c r="E124" s="1152" t="str">
        <f t="shared" si="16"/>
        <v/>
      </c>
      <c r="F124" s="1153"/>
      <c r="G124" s="1154"/>
      <c r="H124" s="1155"/>
      <c r="I124" s="1155"/>
      <c r="J124" s="1154"/>
      <c r="K124" s="1155"/>
      <c r="L124" s="1155"/>
      <c r="M124" s="1155"/>
      <c r="N124" s="1155"/>
      <c r="O124" s="1155"/>
      <c r="P124" s="838"/>
      <c r="Q124" s="828"/>
      <c r="R124" s="929"/>
      <c r="S124" s="485"/>
      <c r="T124" s="312"/>
      <c r="AE124" s="914" t="s">
        <v>13</v>
      </c>
    </row>
    <row r="125" spans="1:32" hidden="1" x14ac:dyDescent="0.25">
      <c r="A125" s="124" t="s">
        <v>38</v>
      </c>
      <c r="B125" s="485"/>
      <c r="D125" s="123" t="s">
        <v>82</v>
      </c>
      <c r="E125" s="1098" t="s">
        <v>82</v>
      </c>
      <c r="F125" s="1093"/>
      <c r="G125" s="1195" t="s">
        <v>82</v>
      </c>
      <c r="H125" s="982"/>
      <c r="I125" s="982"/>
      <c r="J125" s="1195" t="s">
        <v>82</v>
      </c>
      <c r="K125" s="982"/>
      <c r="L125" s="982"/>
      <c r="M125" s="982"/>
      <c r="N125" s="982"/>
      <c r="O125" s="982"/>
      <c r="P125" s="392" t="s">
        <v>82</v>
      </c>
      <c r="Q125" s="392" t="s">
        <v>82</v>
      </c>
      <c r="R125" s="929"/>
      <c r="S125" s="485"/>
      <c r="T125" s="312"/>
      <c r="AE125" s="914" t="s">
        <v>13</v>
      </c>
    </row>
    <row r="126" spans="1:32" s="53" customFormat="1" ht="12.75" customHeight="1" x14ac:dyDescent="0.25">
      <c r="A126" s="129"/>
      <c r="D126" s="1191" t="s">
        <v>2057</v>
      </c>
      <c r="E126" s="1191"/>
      <c r="F126" s="1191"/>
      <c r="G126" s="1192"/>
      <c r="H126" s="1192"/>
      <c r="I126" s="1192"/>
      <c r="J126" s="1192"/>
      <c r="K126" s="1192"/>
      <c r="L126" s="1193"/>
      <c r="M126" s="1193"/>
      <c r="N126" s="68"/>
      <c r="R126" s="920"/>
      <c r="T126" s="786"/>
      <c r="U126" s="130"/>
      <c r="V126" s="129"/>
      <c r="W126" s="129"/>
      <c r="X126" s="129"/>
      <c r="Y126" s="129"/>
      <c r="Z126" s="129"/>
      <c r="AA126" s="129"/>
      <c r="AB126" s="129"/>
      <c r="AC126" s="129"/>
      <c r="AD126" s="129"/>
      <c r="AE126" s="915" t="s">
        <v>11</v>
      </c>
      <c r="AF126" s="312" t="s">
        <v>2058</v>
      </c>
    </row>
    <row r="127" spans="1:32" s="53" customFormat="1" ht="12.75" customHeight="1" x14ac:dyDescent="0.25">
      <c r="A127" s="129"/>
      <c r="D127" s="80"/>
      <c r="E127" s="80"/>
      <c r="F127" s="80"/>
      <c r="G127" s="80"/>
      <c r="H127" s="80"/>
      <c r="I127" s="80"/>
      <c r="J127" s="80"/>
      <c r="K127" s="80"/>
      <c r="L127" s="80"/>
      <c r="M127" s="80"/>
      <c r="N127" s="80"/>
      <c r="R127" s="920"/>
      <c r="U127" s="130"/>
      <c r="V127" s="129"/>
      <c r="W127" s="129"/>
      <c r="X127" s="129"/>
      <c r="Y127" s="129"/>
      <c r="Z127" s="129"/>
      <c r="AA127" s="129"/>
      <c r="AB127" s="129"/>
      <c r="AC127" s="129"/>
      <c r="AD127" s="129"/>
      <c r="AE127" s="915"/>
      <c r="AF127" s="312"/>
    </row>
    <row r="128" spans="1:32" x14ac:dyDescent="0.25">
      <c r="C128" s="60" t="s">
        <v>46</v>
      </c>
      <c r="D128" s="1104" t="str">
        <f>Translations!$B$1268</f>
        <v>Fuel consumption and emissions in the EU ETS</v>
      </c>
      <c r="E128" s="960"/>
      <c r="F128" s="960"/>
      <c r="G128" s="960"/>
      <c r="H128" s="960"/>
      <c r="I128" s="960"/>
      <c r="J128" s="960"/>
      <c r="K128" s="960"/>
      <c r="L128" s="960"/>
      <c r="M128" s="960"/>
    </row>
    <row r="129" spans="1:32" s="53" customFormat="1" ht="13.2" customHeight="1" x14ac:dyDescent="0.25">
      <c r="A129" s="129"/>
      <c r="D129" s="1082" t="s">
        <v>1949</v>
      </c>
      <c r="E129" s="1082"/>
      <c r="F129" s="1082"/>
      <c r="G129" s="1082"/>
      <c r="H129" s="1082"/>
      <c r="I129" s="1082"/>
      <c r="J129" s="1082"/>
      <c r="K129" s="1082"/>
      <c r="L129" s="1083"/>
      <c r="M129" s="1083"/>
      <c r="N129" s="1083"/>
      <c r="O129" s="1083"/>
      <c r="P129" s="1083"/>
      <c r="Q129" s="1083"/>
      <c r="R129" s="923"/>
      <c r="U129" s="130"/>
      <c r="V129" s="129"/>
      <c r="W129" s="129"/>
      <c r="X129" s="129"/>
      <c r="Y129" s="129"/>
      <c r="Z129" s="129"/>
      <c r="AA129" s="129"/>
      <c r="AB129" s="129"/>
      <c r="AC129" s="129"/>
      <c r="AD129" s="129"/>
      <c r="AE129" s="915" t="s">
        <v>13</v>
      </c>
      <c r="AF129" s="312"/>
    </row>
    <row r="130" spans="1:32" s="907" customFormat="1" ht="13.2" customHeight="1" x14ac:dyDescent="0.25">
      <c r="A130" s="129"/>
      <c r="D130" s="1122" t="s">
        <v>2079</v>
      </c>
      <c r="E130" s="1122"/>
      <c r="F130" s="1122"/>
      <c r="G130" s="1122"/>
      <c r="H130" s="1122"/>
      <c r="I130" s="1122"/>
      <c r="J130" s="1122"/>
      <c r="K130" s="1122"/>
      <c r="L130" s="1123"/>
      <c r="M130" s="1123"/>
      <c r="N130" s="1123"/>
      <c r="O130" s="1123"/>
      <c r="P130" s="1123"/>
      <c r="Q130" s="1123"/>
      <c r="R130" s="930"/>
      <c r="U130" s="130"/>
      <c r="V130" s="129"/>
      <c r="W130" s="129"/>
      <c r="X130" s="129"/>
      <c r="Y130" s="129"/>
      <c r="Z130" s="129"/>
      <c r="AA130" s="129"/>
      <c r="AB130" s="129"/>
      <c r="AC130" s="129"/>
      <c r="AD130" s="129"/>
      <c r="AE130" s="915"/>
      <c r="AF130" s="312" t="s">
        <v>2073</v>
      </c>
    </row>
    <row r="131" spans="1:32" s="907" customFormat="1" ht="13.2" customHeight="1" x14ac:dyDescent="0.25">
      <c r="A131" s="129"/>
      <c r="D131" s="1196" t="s">
        <v>2074</v>
      </c>
      <c r="E131" s="1196"/>
      <c r="F131" s="1196"/>
      <c r="G131" s="1196"/>
      <c r="H131" s="1196"/>
      <c r="I131" s="1196"/>
      <c r="J131" s="1196"/>
      <c r="K131" s="1196"/>
      <c r="L131" s="1196"/>
      <c r="M131" s="1196"/>
      <c r="N131" s="1196"/>
      <c r="O131" s="1196"/>
      <c r="P131" s="1196"/>
      <c r="Q131" s="1196"/>
      <c r="R131" s="931"/>
      <c r="U131" s="130"/>
      <c r="V131" s="129"/>
      <c r="W131" s="129"/>
      <c r="X131" s="129"/>
      <c r="Y131" s="129"/>
      <c r="Z131" s="129"/>
      <c r="AA131" s="129"/>
      <c r="AB131" s="129"/>
      <c r="AC131" s="129"/>
      <c r="AD131" s="129"/>
      <c r="AE131" s="915"/>
      <c r="AF131" s="312" t="s">
        <v>2075</v>
      </c>
    </row>
    <row r="132" spans="1:32" s="53" customFormat="1" ht="12.75" customHeight="1" x14ac:dyDescent="0.25">
      <c r="A132" s="129"/>
      <c r="D132" s="1088" t="str">
        <f>Translations!$B$924</f>
        <v xml:space="preserve">(final) EF </v>
      </c>
      <c r="E132" s="1087"/>
      <c r="F132" s="1086" t="s">
        <v>1950</v>
      </c>
      <c r="G132" s="1087"/>
      <c r="H132" s="1087"/>
      <c r="I132" s="1087"/>
      <c r="J132" s="1087"/>
      <c r="K132" s="1087"/>
      <c r="L132" s="1087"/>
      <c r="M132" s="1087"/>
      <c r="N132" s="1087"/>
      <c r="O132" s="1087"/>
      <c r="P132" s="1087"/>
      <c r="Q132" s="1087"/>
      <c r="R132" s="923"/>
      <c r="U132" s="130"/>
      <c r="V132" s="129"/>
      <c r="W132" s="129"/>
      <c r="X132" s="129"/>
      <c r="Y132" s="129"/>
      <c r="Z132" s="129"/>
      <c r="AA132" s="129"/>
      <c r="AB132" s="129"/>
      <c r="AC132" s="129"/>
      <c r="AD132" s="129"/>
      <c r="AE132" s="915"/>
      <c r="AF132" s="312"/>
    </row>
    <row r="133" spans="1:32" s="53" customFormat="1" ht="13.2" customHeight="1" x14ac:dyDescent="0.25">
      <c r="A133" s="129"/>
      <c r="D133" s="1088" t="str">
        <f>Translations!$B$926</f>
        <v xml:space="preserve">fuel consumption </v>
      </c>
      <c r="E133" s="1087"/>
      <c r="F133" s="1086" t="str">
        <f>Translations!$B$927</f>
        <v xml:space="preserve">Please enter here the total fuel consumption of each fuel in tonnes in the reporting year. Please note that this figure should only include fuel consumption to be reported under the EU ETS, i.e. relate to the reduced scope. </v>
      </c>
      <c r="G133" s="1087"/>
      <c r="H133" s="1087"/>
      <c r="I133" s="1087"/>
      <c r="J133" s="1087"/>
      <c r="K133" s="1087"/>
      <c r="L133" s="1087"/>
      <c r="M133" s="1087"/>
      <c r="N133" s="1087"/>
      <c r="O133" s="1087"/>
      <c r="P133" s="1087"/>
      <c r="Q133" s="1087"/>
      <c r="R133" s="923"/>
      <c r="U133" s="130"/>
      <c r="V133" s="129"/>
      <c r="W133" s="129"/>
      <c r="X133" s="129"/>
      <c r="Y133" s="129"/>
      <c r="Z133" s="129"/>
      <c r="AA133" s="129"/>
      <c r="AB133" s="129"/>
      <c r="AC133" s="129"/>
      <c r="AD133" s="129"/>
      <c r="AE133" s="915"/>
      <c r="AF133" s="312"/>
    </row>
    <row r="134" spans="1:32" s="53" customFormat="1" ht="26.4" customHeight="1" x14ac:dyDescent="0.25">
      <c r="A134" s="129"/>
      <c r="D134" s="1088" t="s">
        <v>160</v>
      </c>
      <c r="E134" s="1087"/>
      <c r="F134" s="1086" t="s">
        <v>1951</v>
      </c>
      <c r="G134" s="1087"/>
      <c r="H134" s="1087"/>
      <c r="I134" s="1087"/>
      <c r="J134" s="1087"/>
      <c r="K134" s="1087"/>
      <c r="L134" s="1087"/>
      <c r="M134" s="1087"/>
      <c r="N134" s="1087"/>
      <c r="O134" s="1087"/>
      <c r="P134" s="1087"/>
      <c r="Q134" s="1087"/>
      <c r="R134" s="923"/>
      <c r="U134" s="130"/>
      <c r="V134" s="129"/>
      <c r="W134" s="129"/>
      <c r="X134" s="129"/>
      <c r="Y134" s="129"/>
      <c r="Z134" s="129"/>
      <c r="AA134" s="129"/>
      <c r="AB134" s="129"/>
      <c r="AC134" s="129"/>
      <c r="AD134" s="129"/>
      <c r="AE134" s="915" t="s">
        <v>13</v>
      </c>
      <c r="AF134" s="312"/>
    </row>
    <row r="135" spans="1:32" s="53" customFormat="1" ht="12.75" customHeight="1" x14ac:dyDescent="0.25">
      <c r="A135" s="129"/>
      <c r="D135" s="1088" t="s">
        <v>1952</v>
      </c>
      <c r="E135" s="1087"/>
      <c r="F135" s="1086" t="s">
        <v>1953</v>
      </c>
      <c r="G135" s="1087"/>
      <c r="H135" s="1087"/>
      <c r="I135" s="1087"/>
      <c r="J135" s="1087"/>
      <c r="K135" s="1087"/>
      <c r="L135" s="1087"/>
      <c r="M135" s="1087"/>
      <c r="N135" s="1087"/>
      <c r="O135" s="1087"/>
      <c r="P135" s="1087"/>
      <c r="Q135" s="1087"/>
      <c r="R135" s="923"/>
      <c r="U135" s="130"/>
      <c r="V135" s="129"/>
      <c r="W135" s="129"/>
      <c r="X135" s="129"/>
      <c r="Y135" s="129"/>
      <c r="Z135" s="129"/>
      <c r="AA135" s="129"/>
      <c r="AB135" s="129"/>
      <c r="AC135" s="129"/>
      <c r="AD135" s="129"/>
      <c r="AE135" s="915" t="s">
        <v>13</v>
      </c>
      <c r="AF135" s="312"/>
    </row>
    <row r="136" spans="1:32" s="53" customFormat="1" ht="13.2" customHeight="1" x14ac:dyDescent="0.25">
      <c r="A136" s="129"/>
      <c r="D136" s="1088" t="s">
        <v>1954</v>
      </c>
      <c r="E136" s="1087"/>
      <c r="F136" s="1086" t="s">
        <v>1955</v>
      </c>
      <c r="G136" s="1087"/>
      <c r="H136" s="1087"/>
      <c r="I136" s="1087"/>
      <c r="J136" s="1087"/>
      <c r="K136" s="1087"/>
      <c r="L136" s="1087"/>
      <c r="M136" s="1087"/>
      <c r="N136" s="1087"/>
      <c r="O136" s="1087"/>
      <c r="P136" s="1087"/>
      <c r="Q136" s="1087"/>
      <c r="R136" s="923"/>
      <c r="U136" s="130"/>
      <c r="V136" s="129"/>
      <c r="W136" s="129"/>
      <c r="X136" s="129"/>
      <c r="Y136" s="129"/>
      <c r="Z136" s="129"/>
      <c r="AA136" s="129"/>
      <c r="AB136" s="129"/>
      <c r="AC136" s="129"/>
      <c r="AD136" s="129"/>
      <c r="AE136" s="915" t="s">
        <v>13</v>
      </c>
      <c r="AF136" s="312"/>
    </row>
    <row r="137" spans="1:32" s="811" customFormat="1" ht="13.2" customHeight="1" x14ac:dyDescent="0.25">
      <c r="A137" s="129"/>
      <c r="D137" s="1088" t="s">
        <v>1956</v>
      </c>
      <c r="E137" s="1087"/>
      <c r="F137" s="1086" t="s">
        <v>1957</v>
      </c>
      <c r="G137" s="1087"/>
      <c r="H137" s="1087"/>
      <c r="I137" s="1087"/>
      <c r="J137" s="1087"/>
      <c r="K137" s="1087"/>
      <c r="L137" s="1087"/>
      <c r="M137" s="1087"/>
      <c r="N137" s="1087"/>
      <c r="O137" s="1087"/>
      <c r="P137" s="1087"/>
      <c r="Q137" s="1087"/>
      <c r="R137" s="923"/>
      <c r="U137" s="130"/>
      <c r="V137" s="129"/>
      <c r="W137" s="129"/>
      <c r="X137" s="129"/>
      <c r="Y137" s="129"/>
      <c r="Z137" s="129"/>
      <c r="AA137" s="129"/>
      <c r="AB137" s="129"/>
      <c r="AC137" s="129"/>
      <c r="AD137" s="129"/>
      <c r="AE137" s="915" t="s">
        <v>11</v>
      </c>
      <c r="AF137" s="312"/>
    </row>
    <row r="138" spans="1:32" s="53" customFormat="1" ht="5.0999999999999996" customHeight="1" x14ac:dyDescent="0.25">
      <c r="A138" s="129"/>
      <c r="D138" s="131"/>
      <c r="E138" s="131"/>
      <c r="F138" s="131"/>
      <c r="G138" s="131"/>
      <c r="H138" s="131"/>
      <c r="I138" s="131"/>
      <c r="J138" s="131"/>
      <c r="K138" s="131"/>
      <c r="L138" s="131"/>
      <c r="M138" s="131"/>
      <c r="N138" s="80"/>
      <c r="R138" s="920"/>
      <c r="U138" s="130"/>
      <c r="V138" s="129"/>
      <c r="W138" s="129"/>
      <c r="X138" s="129"/>
      <c r="Y138" s="129"/>
      <c r="Z138" s="129"/>
      <c r="AA138" s="129"/>
      <c r="AB138" s="129"/>
      <c r="AC138" s="129"/>
      <c r="AD138" s="129"/>
      <c r="AE138" s="915"/>
      <c r="AF138" s="312"/>
    </row>
    <row r="139" spans="1:32" s="920" customFormat="1" ht="13.2" customHeight="1" x14ac:dyDescent="0.25">
      <c r="A139" s="129"/>
      <c r="D139" s="1082" t="s">
        <v>2096</v>
      </c>
      <c r="E139" s="1082"/>
      <c r="F139" s="1082"/>
      <c r="G139" s="1082"/>
      <c r="H139" s="1082"/>
      <c r="I139" s="1082"/>
      <c r="J139" s="1082"/>
      <c r="K139" s="1082"/>
      <c r="L139" s="1083"/>
      <c r="M139" s="1083"/>
      <c r="N139" s="1083"/>
      <c r="O139" s="1083"/>
      <c r="P139" s="1083"/>
      <c r="Q139" s="1083"/>
      <c r="R139" s="923"/>
      <c r="U139" s="130"/>
      <c r="V139" s="129"/>
      <c r="W139" s="129"/>
      <c r="X139" s="129"/>
      <c r="Y139" s="129"/>
      <c r="Z139" s="129"/>
      <c r="AA139" s="129"/>
      <c r="AB139" s="129"/>
      <c r="AC139" s="129"/>
      <c r="AD139" s="129"/>
      <c r="AE139" s="915" t="s">
        <v>13</v>
      </c>
      <c r="AF139" s="312" t="s">
        <v>2098</v>
      </c>
    </row>
    <row r="140" spans="1:32" s="920" customFormat="1" ht="13.2" customHeight="1" x14ac:dyDescent="0.25">
      <c r="A140" s="129"/>
      <c r="D140" s="1084" t="s">
        <v>2097</v>
      </c>
      <c r="E140" s="1084"/>
      <c r="F140" s="1084"/>
      <c r="G140" s="1084"/>
      <c r="H140" s="1084"/>
      <c r="I140" s="1084"/>
      <c r="J140" s="1084"/>
      <c r="K140" s="1084"/>
      <c r="L140" s="1085"/>
      <c r="M140" s="1085"/>
      <c r="N140" s="1085"/>
      <c r="O140" s="1085"/>
      <c r="P140" s="1085"/>
      <c r="Q140" s="1085"/>
      <c r="R140" s="930"/>
      <c r="U140" s="130"/>
      <c r="V140" s="129"/>
      <c r="W140" s="129"/>
      <c r="X140" s="129"/>
      <c r="Y140" s="129"/>
      <c r="Z140" s="129"/>
      <c r="AA140" s="129"/>
      <c r="AB140" s="129"/>
      <c r="AC140" s="129"/>
      <c r="AD140" s="129"/>
      <c r="AE140" s="915"/>
      <c r="AF140" s="312" t="s">
        <v>2098</v>
      </c>
    </row>
    <row r="141" spans="1:32" s="920" customFormat="1" ht="5.0999999999999996" customHeight="1" x14ac:dyDescent="0.25">
      <c r="A141" s="129"/>
      <c r="D141" s="131"/>
      <c r="E141" s="131"/>
      <c r="F141" s="131"/>
      <c r="G141" s="131"/>
      <c r="H141" s="131"/>
      <c r="I141" s="131"/>
      <c r="J141" s="131"/>
      <c r="K141" s="131"/>
      <c r="L141" s="131"/>
      <c r="M141" s="131"/>
      <c r="N141" s="919"/>
      <c r="U141" s="130"/>
      <c r="V141" s="129"/>
      <c r="W141" s="129"/>
      <c r="X141" s="129"/>
      <c r="Y141" s="129"/>
      <c r="Z141" s="129"/>
      <c r="AA141" s="129"/>
      <c r="AB141" s="129"/>
      <c r="AC141" s="129"/>
      <c r="AD141" s="129"/>
      <c r="AE141" s="915"/>
      <c r="AF141" s="312"/>
    </row>
    <row r="142" spans="1:32" ht="39.75" customHeight="1" x14ac:dyDescent="0.25">
      <c r="C142" s="60"/>
      <c r="D142" s="52" t="str">
        <f>Translations!$B$914</f>
        <v>Fuel No.</v>
      </c>
      <c r="E142" s="1094" t="str">
        <f>Translations!$B$915</f>
        <v>Name of fuel</v>
      </c>
      <c r="F142" s="1095"/>
      <c r="G142" s="52" t="s">
        <v>75</v>
      </c>
      <c r="H142" s="52" t="str">
        <f>Translations!$B$934</f>
        <v>(final) EF 
[t CO2 / t fuel]</v>
      </c>
      <c r="I142" s="52" t="str">
        <f>Translations!$B$935</f>
        <v>fuel consumption [tonnes]</v>
      </c>
      <c r="J142" s="52" t="s">
        <v>1948</v>
      </c>
      <c r="K142" s="134" t="s">
        <v>161</v>
      </c>
      <c r="L142" s="134" t="s">
        <v>162</v>
      </c>
      <c r="M142" s="134" t="s">
        <v>163</v>
      </c>
      <c r="N142" s="134" t="s">
        <v>164</v>
      </c>
      <c r="O142" s="134" t="s">
        <v>165</v>
      </c>
      <c r="P142" s="134" t="s">
        <v>166</v>
      </c>
      <c r="Q142" s="134" t="s">
        <v>167</v>
      </c>
      <c r="R142" s="942" t="s">
        <v>2095</v>
      </c>
      <c r="S142" s="53"/>
      <c r="T142" s="312"/>
      <c r="AE142" s="914" t="s">
        <v>168</v>
      </c>
      <c r="AF142" s="312" t="s">
        <v>2099</v>
      </c>
    </row>
    <row r="143" spans="1:32" x14ac:dyDescent="0.25">
      <c r="C143" s="60"/>
      <c r="D143" s="123">
        <v>1</v>
      </c>
      <c r="E143" s="1096" t="s">
        <v>79</v>
      </c>
      <c r="F143" s="1096"/>
      <c r="G143" s="160">
        <f>IF(ISNUMBER(L83),L83,"")</f>
        <v>3.16</v>
      </c>
      <c r="H143" s="160">
        <f>IF(ISNUMBER(G143),G143*IF(N83=TRUE,0,1),"")</f>
        <v>3.16</v>
      </c>
      <c r="I143" s="489">
        <v>20100</v>
      </c>
      <c r="J143" s="717">
        <f>IF(I143="","",H143*I143)</f>
        <v>63516</v>
      </c>
      <c r="K143" s="718" t="str">
        <f>IF(I143="","",IF(H143="","",IF(H143=0,G143*I143,"")))</f>
        <v/>
      </c>
      <c r="L143" s="719"/>
      <c r="M143" s="719"/>
      <c r="N143" s="720"/>
      <c r="O143" s="720"/>
      <c r="P143" s="720"/>
      <c r="Q143" s="720"/>
      <c r="R143" s="720"/>
      <c r="S143" s="53"/>
      <c r="T143" s="312"/>
      <c r="AE143" s="914" t="s">
        <v>168</v>
      </c>
    </row>
    <row r="144" spans="1:32" ht="13.35" customHeight="1" x14ac:dyDescent="0.25">
      <c r="C144" s="60"/>
      <c r="D144" s="123">
        <f>D143+1</f>
        <v>2</v>
      </c>
      <c r="E144" s="1096" t="s">
        <v>80</v>
      </c>
      <c r="F144" s="1096"/>
      <c r="G144" s="160">
        <f>IF(ISNUMBER(L84),L84,"")</f>
        <v>3.1</v>
      </c>
      <c r="H144" s="160">
        <f>IF(ISNUMBER(G144),G144*IF(N84=TRUE,0,1),"")</f>
        <v>3.1</v>
      </c>
      <c r="I144" s="489">
        <v>0</v>
      </c>
      <c r="J144" s="717">
        <f t="shared" ref="J144:J160" si="17">IF(I144="","",H144*I144)</f>
        <v>0</v>
      </c>
      <c r="K144" s="718" t="str">
        <f t="shared" ref="K144:K160" si="18">IF(I144="","",IF(H144="","",IF(H144=0,G144*I144,"")))</f>
        <v/>
      </c>
      <c r="L144" s="719"/>
      <c r="M144" s="719"/>
      <c r="N144" s="720"/>
      <c r="O144" s="720"/>
      <c r="P144" s="720"/>
      <c r="Q144" s="720"/>
      <c r="R144" s="720"/>
      <c r="S144" s="53"/>
      <c r="T144" s="312"/>
      <c r="AE144" s="914" t="s">
        <v>168</v>
      </c>
    </row>
    <row r="145" spans="3:31" ht="12.75" customHeight="1" x14ac:dyDescent="0.25">
      <c r="C145" s="60"/>
      <c r="D145" s="123">
        <f t="shared" ref="D145" si="19">D144+1</f>
        <v>3</v>
      </c>
      <c r="E145" s="1090" t="s">
        <v>81</v>
      </c>
      <c r="F145" s="1091"/>
      <c r="G145" s="160">
        <f>IF(ISNUMBER(L85),L85,"")</f>
        <v>3.1</v>
      </c>
      <c r="H145" s="160">
        <f>IF(ISNUMBER(G145),G145*IF(N85=TRUE,0,1),"")</f>
        <v>3.1</v>
      </c>
      <c r="I145" s="489">
        <v>0</v>
      </c>
      <c r="J145" s="717">
        <f t="shared" si="17"/>
        <v>0</v>
      </c>
      <c r="K145" s="718" t="str">
        <f t="shared" si="18"/>
        <v/>
      </c>
      <c r="L145" s="719"/>
      <c r="M145" s="719"/>
      <c r="N145" s="720"/>
      <c r="O145" s="720"/>
      <c r="P145" s="720"/>
      <c r="Q145" s="720"/>
      <c r="R145" s="720"/>
      <c r="S145" s="53"/>
      <c r="T145" s="312"/>
      <c r="AE145" s="914" t="s">
        <v>168</v>
      </c>
    </row>
    <row r="146" spans="3:31" ht="13.35" customHeight="1" x14ac:dyDescent="0.25">
      <c r="C146" s="60"/>
      <c r="D146" s="123">
        <f t="shared" ref="D146:D160" si="20">D86</f>
        <v>4</v>
      </c>
      <c r="E146" s="1092" t="str">
        <f t="shared" ref="E146:E160" si="21">INDEX(CNTR_FuelListNames,D146-3)</f>
        <v>4. HEFA</v>
      </c>
      <c r="F146" s="1093"/>
      <c r="G146" s="160">
        <f t="shared" ref="G146:G160" si="22">IF(E146="","",INDEX(CNTR_FuelListEFprelim,MATCH($E146,CNTR_FuelListNames,0)))</f>
        <v>3.16</v>
      </c>
      <c r="H146" s="160">
        <f t="shared" ref="H146:H160" si="23">IF(ISNUMBER(G146),G146*IF(INDEX(CNTR_FuelListIsZero,MATCH($E146,CNTR_FuelListNames,0))=TRUE,0,1),"")</f>
        <v>0</v>
      </c>
      <c r="I146" s="489">
        <v>90</v>
      </c>
      <c r="J146" s="717">
        <f t="shared" si="17"/>
        <v>0</v>
      </c>
      <c r="K146" s="718">
        <f t="shared" si="18"/>
        <v>284.40000000000003</v>
      </c>
      <c r="L146" s="718">
        <f>IF(AND($E146&lt;&gt;"",ISNUMBER($I146),INDEX(CNTR_FuelListIsBioFuel,MATCH($E146,CNTR_FuelListNames,0))=TRUE,$H146=0),$K146,"")</f>
        <v>284.40000000000003</v>
      </c>
      <c r="M146" s="718" t="str">
        <f t="shared" ref="M146:M160" si="24">IF(AND($E146&lt;&gt;"",ISNUMBER($I146),INDEX(CNTR_FuelListIsRF,MATCH($E146,CNTR_FuelListNames,0))=TRUE,$H146=0),$K146,"")</f>
        <v/>
      </c>
      <c r="N146" s="718" t="str">
        <f t="shared" ref="N146:N160" si="25">IF(AND($E146&lt;&gt;"",ISNUMBER($I146),INDEX(CNTR_FuelListIsSLCF,MATCH($E146,CNTR_FuelListNames,0))=TRUE,$H146=0),$K146,"")</f>
        <v/>
      </c>
      <c r="O146" s="718" t="str">
        <f t="shared" ref="O146:O160" si="26">IF(AND($E146&lt;&gt;"",ISNUMBER($I146),INDEX(CNTR_FuelListIsBioFuel,MATCH($E146,CNTR_FuelListNames,0))=TRUE,$H146&lt;&gt;0),$J146,"")</f>
        <v/>
      </c>
      <c r="P146" s="718" t="str">
        <f t="shared" ref="P146:P160" si="27">IF(AND($E146&lt;&gt;"",ISNUMBER($I146),INDEX(CNTR_FuelListIsRF,MATCH($E146,CNTR_FuelListNames,0))=TRUE,$H146&lt;&gt;0),$J146,"")</f>
        <v/>
      </c>
      <c r="Q146" s="718" t="str">
        <f t="shared" ref="Q146:Q160" si="28">IF(AND($E146&lt;&gt;"",ISNUMBER($I146),INDEX(CNTR_FuelListIsSLCF,MATCH($E146,CNTR_FuelListNames,0))=TRUE,$H146&lt;&gt;0),$J146,"")</f>
        <v/>
      </c>
      <c r="R146" s="943">
        <f>IF(I146="","",SUMIF('Annex Aerodromes'!$E$59:$E$258, E146, 'Annex Aerodromes'!$I$59:$I$258))</f>
        <v>90</v>
      </c>
      <c r="S146" s="53"/>
      <c r="T146" s="312"/>
      <c r="AE146" s="914" t="s">
        <v>168</v>
      </c>
    </row>
    <row r="147" spans="3:31" ht="13.35" customHeight="1" x14ac:dyDescent="0.25">
      <c r="C147" s="60"/>
      <c r="D147" s="123">
        <f t="shared" si="20"/>
        <v>5</v>
      </c>
      <c r="E147" s="1092" t="str">
        <f t="shared" si="21"/>
        <v>5. RFNBO EDDF</v>
      </c>
      <c r="F147" s="1093"/>
      <c r="G147" s="160">
        <f t="shared" si="22"/>
        <v>3.16</v>
      </c>
      <c r="H147" s="160">
        <f t="shared" si="23"/>
        <v>0</v>
      </c>
      <c r="I147" s="489">
        <v>5</v>
      </c>
      <c r="J147" s="717">
        <f t="shared" si="17"/>
        <v>0</v>
      </c>
      <c r="K147" s="718">
        <f t="shared" si="18"/>
        <v>15.8</v>
      </c>
      <c r="L147" s="718" t="str">
        <f t="shared" ref="L147:L160" si="29">IF(AND($E147&lt;&gt;"",ISNUMBER($I147),INDEX(CNTR_FuelListIsBioFuel,MATCH($E147,CNTR_FuelListNames,0))=TRUE,$H147=0),$K147,"")</f>
        <v/>
      </c>
      <c r="M147" s="718">
        <f t="shared" si="24"/>
        <v>15.8</v>
      </c>
      <c r="N147" s="718" t="str">
        <f t="shared" si="25"/>
        <v/>
      </c>
      <c r="O147" s="718" t="str">
        <f t="shared" si="26"/>
        <v/>
      </c>
      <c r="P147" s="718" t="str">
        <f t="shared" si="27"/>
        <v/>
      </c>
      <c r="Q147" s="718" t="str">
        <f t="shared" si="28"/>
        <v/>
      </c>
      <c r="R147" s="943">
        <f>IF(I147="","",SUMIF('Annex Aerodromes'!$E$59:$E$258, E147, 'Annex Aerodromes'!$I$59:$I$258))</f>
        <v>5</v>
      </c>
      <c r="S147" s="53"/>
      <c r="T147" s="312"/>
      <c r="AE147" s="914" t="s">
        <v>168</v>
      </c>
    </row>
    <row r="148" spans="3:31" ht="12.75" customHeight="1" x14ac:dyDescent="0.25">
      <c r="C148" s="60"/>
      <c r="D148" s="123">
        <f t="shared" si="20"/>
        <v>6</v>
      </c>
      <c r="E148" s="1092" t="str">
        <f t="shared" si="21"/>
        <v>6. ATJ</v>
      </c>
      <c r="F148" s="1093"/>
      <c r="G148" s="160">
        <f t="shared" si="22"/>
        <v>3.16</v>
      </c>
      <c r="H148" s="160">
        <f t="shared" si="23"/>
        <v>3.16</v>
      </c>
      <c r="I148" s="489">
        <v>2</v>
      </c>
      <c r="J148" s="717">
        <f t="shared" si="17"/>
        <v>6.32</v>
      </c>
      <c r="K148" s="718" t="str">
        <f>IF(I148="","",IF(H148="","",IF(H148=0,G148*I148,"")))</f>
        <v/>
      </c>
      <c r="L148" s="718" t="str">
        <f t="shared" si="29"/>
        <v/>
      </c>
      <c r="M148" s="718" t="str">
        <f t="shared" si="24"/>
        <v/>
      </c>
      <c r="N148" s="718" t="str">
        <f t="shared" si="25"/>
        <v/>
      </c>
      <c r="O148" s="718">
        <f t="shared" si="26"/>
        <v>6.32</v>
      </c>
      <c r="P148" s="718" t="str">
        <f t="shared" si="27"/>
        <v/>
      </c>
      <c r="Q148" s="718" t="str">
        <f t="shared" si="28"/>
        <v/>
      </c>
      <c r="R148" s="943">
        <f>IF(I148="","",SUMIF('Annex Aerodromes'!$E$59:$E$258, E148, 'Annex Aerodromes'!$I$59:$I$258))</f>
        <v>2</v>
      </c>
      <c r="S148" s="53"/>
      <c r="T148" s="312"/>
      <c r="AE148" s="914" t="s">
        <v>168</v>
      </c>
    </row>
    <row r="149" spans="3:31" ht="13.35" customHeight="1" x14ac:dyDescent="0.25">
      <c r="C149" s="60"/>
      <c r="D149" s="123">
        <f t="shared" si="20"/>
        <v>7</v>
      </c>
      <c r="E149" s="1092" t="str">
        <f t="shared" si="21"/>
        <v/>
      </c>
      <c r="F149" s="1093"/>
      <c r="G149" s="160" t="str">
        <f t="shared" si="22"/>
        <v/>
      </c>
      <c r="H149" s="160" t="str">
        <f t="shared" si="23"/>
        <v/>
      </c>
      <c r="I149" s="489"/>
      <c r="J149" s="717" t="str">
        <f t="shared" si="17"/>
        <v/>
      </c>
      <c r="K149" s="718" t="str">
        <f t="shared" si="18"/>
        <v/>
      </c>
      <c r="L149" s="718" t="str">
        <f t="shared" si="29"/>
        <v/>
      </c>
      <c r="M149" s="718" t="str">
        <f t="shared" si="24"/>
        <v/>
      </c>
      <c r="N149" s="718" t="str">
        <f t="shared" si="25"/>
        <v/>
      </c>
      <c r="O149" s="718" t="str">
        <f t="shared" si="26"/>
        <v/>
      </c>
      <c r="P149" s="718" t="str">
        <f t="shared" si="27"/>
        <v/>
      </c>
      <c r="Q149" s="718" t="str">
        <f t="shared" si="28"/>
        <v/>
      </c>
      <c r="R149" s="943" t="str">
        <f>IF(I149="","",SUMIF('Annex Aerodromes'!$E$59:$E$258, E149, 'Annex Aerodromes'!$I$59:$I$258))</f>
        <v/>
      </c>
      <c r="S149" s="53"/>
      <c r="T149" s="312"/>
      <c r="AE149" s="914" t="s">
        <v>168</v>
      </c>
    </row>
    <row r="150" spans="3:31" ht="13.35" customHeight="1" x14ac:dyDescent="0.25">
      <c r="C150" s="60"/>
      <c r="D150" s="123">
        <f t="shared" si="20"/>
        <v>8</v>
      </c>
      <c r="E150" s="1092" t="str">
        <f t="shared" si="21"/>
        <v/>
      </c>
      <c r="F150" s="1093"/>
      <c r="G150" s="160" t="str">
        <f t="shared" si="22"/>
        <v/>
      </c>
      <c r="H150" s="160" t="str">
        <f t="shared" si="23"/>
        <v/>
      </c>
      <c r="I150" s="489"/>
      <c r="J150" s="717" t="str">
        <f t="shared" si="17"/>
        <v/>
      </c>
      <c r="K150" s="718" t="str">
        <f>IF(I150="","",IF(H150="","",IF(H150=0,G150*I150,"")))</f>
        <v/>
      </c>
      <c r="L150" s="718" t="str">
        <f t="shared" si="29"/>
        <v/>
      </c>
      <c r="M150" s="718" t="str">
        <f t="shared" si="24"/>
        <v/>
      </c>
      <c r="N150" s="718" t="str">
        <f t="shared" si="25"/>
        <v/>
      </c>
      <c r="O150" s="718" t="str">
        <f t="shared" si="26"/>
        <v/>
      </c>
      <c r="P150" s="718" t="str">
        <f t="shared" si="27"/>
        <v/>
      </c>
      <c r="Q150" s="718" t="str">
        <f t="shared" si="28"/>
        <v/>
      </c>
      <c r="R150" s="943" t="str">
        <f>IF(I150="","",SUMIF('Annex Aerodromes'!$E$59:$E$258, E150, 'Annex Aerodromes'!$I$59:$I$258))</f>
        <v/>
      </c>
      <c r="S150" s="53"/>
      <c r="T150" s="312"/>
      <c r="AE150" s="914" t="s">
        <v>168</v>
      </c>
    </row>
    <row r="151" spans="3:31" ht="13.35" customHeight="1" x14ac:dyDescent="0.25">
      <c r="C151" s="60"/>
      <c r="D151" s="123">
        <f t="shared" si="20"/>
        <v>9</v>
      </c>
      <c r="E151" s="1092" t="str">
        <f t="shared" si="21"/>
        <v/>
      </c>
      <c r="F151" s="1093"/>
      <c r="G151" s="160" t="str">
        <f t="shared" si="22"/>
        <v/>
      </c>
      <c r="H151" s="160" t="str">
        <f t="shared" si="23"/>
        <v/>
      </c>
      <c r="I151" s="489"/>
      <c r="J151" s="717" t="str">
        <f t="shared" si="17"/>
        <v/>
      </c>
      <c r="K151" s="718" t="str">
        <f t="shared" si="18"/>
        <v/>
      </c>
      <c r="L151" s="718" t="str">
        <f t="shared" si="29"/>
        <v/>
      </c>
      <c r="M151" s="718" t="str">
        <f t="shared" si="24"/>
        <v/>
      </c>
      <c r="N151" s="718" t="str">
        <f t="shared" si="25"/>
        <v/>
      </c>
      <c r="O151" s="718" t="str">
        <f t="shared" si="26"/>
        <v/>
      </c>
      <c r="P151" s="718" t="str">
        <f t="shared" si="27"/>
        <v/>
      </c>
      <c r="Q151" s="718" t="str">
        <f t="shared" si="28"/>
        <v/>
      </c>
      <c r="R151" s="943" t="str">
        <f>IF(I151="","",SUMIF('Annex Aerodromes'!$E$59:$E$258, E151, 'Annex Aerodromes'!$I$59:$I$258))</f>
        <v/>
      </c>
      <c r="S151" s="53"/>
      <c r="T151" s="312"/>
      <c r="AE151" s="914" t="s">
        <v>168</v>
      </c>
    </row>
    <row r="152" spans="3:31" ht="13.35" customHeight="1" x14ac:dyDescent="0.25">
      <c r="C152" s="60"/>
      <c r="D152" s="123">
        <f t="shared" si="20"/>
        <v>10</v>
      </c>
      <c r="E152" s="1092" t="str">
        <f t="shared" si="21"/>
        <v/>
      </c>
      <c r="F152" s="1093"/>
      <c r="G152" s="160" t="str">
        <f t="shared" si="22"/>
        <v/>
      </c>
      <c r="H152" s="160" t="str">
        <f t="shared" si="23"/>
        <v/>
      </c>
      <c r="I152" s="489"/>
      <c r="J152" s="717" t="str">
        <f t="shared" si="17"/>
        <v/>
      </c>
      <c r="K152" s="718" t="str">
        <f t="shared" si="18"/>
        <v/>
      </c>
      <c r="L152" s="718" t="str">
        <f t="shared" si="29"/>
        <v/>
      </c>
      <c r="M152" s="718" t="str">
        <f t="shared" si="24"/>
        <v/>
      </c>
      <c r="N152" s="718" t="str">
        <f t="shared" si="25"/>
        <v/>
      </c>
      <c r="O152" s="718" t="str">
        <f t="shared" si="26"/>
        <v/>
      </c>
      <c r="P152" s="718" t="str">
        <f t="shared" si="27"/>
        <v/>
      </c>
      <c r="Q152" s="718" t="str">
        <f t="shared" si="28"/>
        <v/>
      </c>
      <c r="R152" s="943" t="str">
        <f>IF(I152="","",SUMIF('Annex Aerodromes'!$E$59:$E$258, E152, 'Annex Aerodromes'!$I$59:$I$258))</f>
        <v/>
      </c>
      <c r="S152" s="53"/>
      <c r="T152" s="312"/>
      <c r="AE152" s="914" t="s">
        <v>168</v>
      </c>
    </row>
    <row r="153" spans="3:31" ht="13.35" customHeight="1" x14ac:dyDescent="0.25">
      <c r="C153" s="60"/>
      <c r="D153" s="123">
        <f t="shared" si="20"/>
        <v>11</v>
      </c>
      <c r="E153" s="1092" t="str">
        <f t="shared" si="21"/>
        <v/>
      </c>
      <c r="F153" s="1093"/>
      <c r="G153" s="160" t="str">
        <f t="shared" si="22"/>
        <v/>
      </c>
      <c r="H153" s="160" t="str">
        <f t="shared" si="23"/>
        <v/>
      </c>
      <c r="I153" s="489"/>
      <c r="J153" s="717" t="str">
        <f t="shared" si="17"/>
        <v/>
      </c>
      <c r="K153" s="718" t="str">
        <f t="shared" si="18"/>
        <v/>
      </c>
      <c r="L153" s="718" t="str">
        <f t="shared" si="29"/>
        <v/>
      </c>
      <c r="M153" s="718" t="str">
        <f t="shared" si="24"/>
        <v/>
      </c>
      <c r="N153" s="718" t="str">
        <f t="shared" si="25"/>
        <v/>
      </c>
      <c r="O153" s="718" t="str">
        <f t="shared" si="26"/>
        <v/>
      </c>
      <c r="P153" s="718" t="str">
        <f t="shared" si="27"/>
        <v/>
      </c>
      <c r="Q153" s="718" t="str">
        <f t="shared" si="28"/>
        <v/>
      </c>
      <c r="R153" s="943" t="str">
        <f>IF(I153="","",SUMIF('Annex Aerodromes'!$E$59:$E$258, E153, 'Annex Aerodromes'!$I$59:$I$258))</f>
        <v/>
      </c>
      <c r="S153" s="53"/>
      <c r="T153" s="312"/>
      <c r="AE153" s="914" t="s">
        <v>168</v>
      </c>
    </row>
    <row r="154" spans="3:31" ht="13.35" customHeight="1" x14ac:dyDescent="0.25">
      <c r="C154" s="60"/>
      <c r="D154" s="123">
        <f t="shared" si="20"/>
        <v>12</v>
      </c>
      <c r="E154" s="1092" t="str">
        <f t="shared" si="21"/>
        <v/>
      </c>
      <c r="F154" s="1093"/>
      <c r="G154" s="160" t="str">
        <f t="shared" si="22"/>
        <v/>
      </c>
      <c r="H154" s="160" t="str">
        <f t="shared" si="23"/>
        <v/>
      </c>
      <c r="I154" s="489"/>
      <c r="J154" s="717" t="str">
        <f t="shared" si="17"/>
        <v/>
      </c>
      <c r="K154" s="718" t="str">
        <f t="shared" si="18"/>
        <v/>
      </c>
      <c r="L154" s="718" t="str">
        <f t="shared" si="29"/>
        <v/>
      </c>
      <c r="M154" s="718" t="str">
        <f t="shared" si="24"/>
        <v/>
      </c>
      <c r="N154" s="718" t="str">
        <f t="shared" si="25"/>
        <v/>
      </c>
      <c r="O154" s="718" t="str">
        <f t="shared" si="26"/>
        <v/>
      </c>
      <c r="P154" s="718" t="str">
        <f t="shared" si="27"/>
        <v/>
      </c>
      <c r="Q154" s="718" t="str">
        <f t="shared" si="28"/>
        <v/>
      </c>
      <c r="R154" s="943" t="str">
        <f>IF(I154="","",SUMIF('Annex Aerodromes'!$E$59:$E$258, E154, 'Annex Aerodromes'!$I$59:$I$258))</f>
        <v/>
      </c>
      <c r="S154" s="53"/>
      <c r="T154" s="312"/>
      <c r="AE154" s="914" t="s">
        <v>168</v>
      </c>
    </row>
    <row r="155" spans="3:31" ht="13.35" customHeight="1" x14ac:dyDescent="0.25">
      <c r="C155" s="60"/>
      <c r="D155" s="123">
        <f t="shared" si="20"/>
        <v>13</v>
      </c>
      <c r="E155" s="1092" t="str">
        <f t="shared" si="21"/>
        <v/>
      </c>
      <c r="F155" s="1093"/>
      <c r="G155" s="160" t="str">
        <f t="shared" si="22"/>
        <v/>
      </c>
      <c r="H155" s="160" t="str">
        <f t="shared" si="23"/>
        <v/>
      </c>
      <c r="I155" s="489"/>
      <c r="J155" s="717" t="str">
        <f t="shared" si="17"/>
        <v/>
      </c>
      <c r="K155" s="718" t="str">
        <f t="shared" si="18"/>
        <v/>
      </c>
      <c r="L155" s="718" t="str">
        <f t="shared" si="29"/>
        <v/>
      </c>
      <c r="M155" s="718" t="str">
        <f t="shared" si="24"/>
        <v/>
      </c>
      <c r="N155" s="718" t="str">
        <f t="shared" si="25"/>
        <v/>
      </c>
      <c r="O155" s="718" t="str">
        <f t="shared" si="26"/>
        <v/>
      </c>
      <c r="P155" s="718" t="str">
        <f t="shared" si="27"/>
        <v/>
      </c>
      <c r="Q155" s="718" t="str">
        <f t="shared" si="28"/>
        <v/>
      </c>
      <c r="R155" s="943" t="str">
        <f>IF(I155="","",SUMIF('Annex Aerodromes'!$E$59:$E$258, E155, 'Annex Aerodromes'!$I$59:$I$258))</f>
        <v/>
      </c>
      <c r="S155" s="53"/>
      <c r="T155" s="312"/>
      <c r="AE155" s="914" t="s">
        <v>168</v>
      </c>
    </row>
    <row r="156" spans="3:31" ht="13.35" customHeight="1" x14ac:dyDescent="0.25">
      <c r="C156" s="60"/>
      <c r="D156" s="123">
        <f t="shared" si="20"/>
        <v>14</v>
      </c>
      <c r="E156" s="1092" t="str">
        <f t="shared" si="21"/>
        <v/>
      </c>
      <c r="F156" s="1093"/>
      <c r="G156" s="160" t="str">
        <f t="shared" si="22"/>
        <v/>
      </c>
      <c r="H156" s="160" t="str">
        <f t="shared" si="23"/>
        <v/>
      </c>
      <c r="I156" s="489"/>
      <c r="J156" s="717" t="str">
        <f t="shared" si="17"/>
        <v/>
      </c>
      <c r="K156" s="718" t="str">
        <f t="shared" si="18"/>
        <v/>
      </c>
      <c r="L156" s="718" t="str">
        <f t="shared" si="29"/>
        <v/>
      </c>
      <c r="M156" s="718" t="str">
        <f t="shared" si="24"/>
        <v/>
      </c>
      <c r="N156" s="718" t="str">
        <f t="shared" si="25"/>
        <v/>
      </c>
      <c r="O156" s="718" t="str">
        <f t="shared" si="26"/>
        <v/>
      </c>
      <c r="P156" s="718" t="str">
        <f t="shared" si="27"/>
        <v/>
      </c>
      <c r="Q156" s="718" t="str">
        <f t="shared" si="28"/>
        <v/>
      </c>
      <c r="R156" s="943" t="str">
        <f>IF(I156="","",SUMIF('Annex Aerodromes'!$E$59:$E$258, E156, 'Annex Aerodromes'!$I$59:$I$258))</f>
        <v/>
      </c>
      <c r="S156" s="53"/>
      <c r="T156" s="312"/>
      <c r="AE156" s="914" t="s">
        <v>168</v>
      </c>
    </row>
    <row r="157" spans="3:31" ht="13.35" customHeight="1" x14ac:dyDescent="0.25">
      <c r="C157" s="60"/>
      <c r="D157" s="123">
        <f t="shared" si="20"/>
        <v>15</v>
      </c>
      <c r="E157" s="1092" t="str">
        <f t="shared" si="21"/>
        <v/>
      </c>
      <c r="F157" s="1093"/>
      <c r="G157" s="160" t="str">
        <f t="shared" si="22"/>
        <v/>
      </c>
      <c r="H157" s="160" t="str">
        <f t="shared" si="23"/>
        <v/>
      </c>
      <c r="I157" s="489"/>
      <c r="J157" s="717" t="str">
        <f t="shared" si="17"/>
        <v/>
      </c>
      <c r="K157" s="718" t="str">
        <f t="shared" si="18"/>
        <v/>
      </c>
      <c r="L157" s="718" t="str">
        <f t="shared" si="29"/>
        <v/>
      </c>
      <c r="M157" s="718" t="str">
        <f t="shared" si="24"/>
        <v/>
      </c>
      <c r="N157" s="718" t="str">
        <f t="shared" si="25"/>
        <v/>
      </c>
      <c r="O157" s="718" t="str">
        <f t="shared" si="26"/>
        <v/>
      </c>
      <c r="P157" s="718" t="str">
        <f t="shared" si="27"/>
        <v/>
      </c>
      <c r="Q157" s="718" t="str">
        <f t="shared" si="28"/>
        <v/>
      </c>
      <c r="R157" s="943" t="str">
        <f>IF(I157="","",SUMIF('Annex Aerodromes'!$E$59:$E$258, E157, 'Annex Aerodromes'!$I$59:$I$258))</f>
        <v/>
      </c>
      <c r="S157" s="53"/>
      <c r="T157" s="312"/>
      <c r="AE157" s="914" t="s">
        <v>168</v>
      </c>
    </row>
    <row r="158" spans="3:31" ht="13.35" customHeight="1" x14ac:dyDescent="0.25">
      <c r="C158" s="60"/>
      <c r="D158" s="123">
        <f t="shared" si="20"/>
        <v>16</v>
      </c>
      <c r="E158" s="1092" t="str">
        <f t="shared" si="21"/>
        <v/>
      </c>
      <c r="F158" s="1093"/>
      <c r="G158" s="160" t="str">
        <f t="shared" si="22"/>
        <v/>
      </c>
      <c r="H158" s="160" t="str">
        <f t="shared" si="23"/>
        <v/>
      </c>
      <c r="I158" s="489"/>
      <c r="J158" s="717" t="str">
        <f t="shared" si="17"/>
        <v/>
      </c>
      <c r="K158" s="718" t="str">
        <f t="shared" si="18"/>
        <v/>
      </c>
      <c r="L158" s="718" t="str">
        <f t="shared" si="29"/>
        <v/>
      </c>
      <c r="M158" s="718" t="str">
        <f t="shared" si="24"/>
        <v/>
      </c>
      <c r="N158" s="718" t="str">
        <f t="shared" si="25"/>
        <v/>
      </c>
      <c r="O158" s="718" t="str">
        <f t="shared" si="26"/>
        <v/>
      </c>
      <c r="P158" s="718" t="str">
        <f t="shared" si="27"/>
        <v/>
      </c>
      <c r="Q158" s="718" t="str">
        <f t="shared" si="28"/>
        <v/>
      </c>
      <c r="R158" s="943" t="str">
        <f>IF(I158="","",SUMIF('Annex Aerodromes'!$E$59:$E$258, E158, 'Annex Aerodromes'!$I$59:$I$258))</f>
        <v/>
      </c>
      <c r="S158" s="53"/>
      <c r="T158" s="312"/>
      <c r="AE158" s="914" t="s">
        <v>168</v>
      </c>
    </row>
    <row r="159" spans="3:31" ht="13.35" customHeight="1" x14ac:dyDescent="0.25">
      <c r="C159" s="60"/>
      <c r="D159" s="123">
        <f t="shared" si="20"/>
        <v>17</v>
      </c>
      <c r="E159" s="1092" t="str">
        <f t="shared" si="21"/>
        <v/>
      </c>
      <c r="F159" s="1093"/>
      <c r="G159" s="160" t="str">
        <f t="shared" si="22"/>
        <v/>
      </c>
      <c r="H159" s="160" t="str">
        <f t="shared" si="23"/>
        <v/>
      </c>
      <c r="I159" s="489"/>
      <c r="J159" s="717" t="str">
        <f t="shared" si="17"/>
        <v/>
      </c>
      <c r="K159" s="718" t="str">
        <f t="shared" si="18"/>
        <v/>
      </c>
      <c r="L159" s="718" t="str">
        <f t="shared" si="29"/>
        <v/>
      </c>
      <c r="M159" s="718" t="str">
        <f t="shared" si="24"/>
        <v/>
      </c>
      <c r="N159" s="718" t="str">
        <f t="shared" si="25"/>
        <v/>
      </c>
      <c r="O159" s="718" t="str">
        <f t="shared" si="26"/>
        <v/>
      </c>
      <c r="P159" s="718" t="str">
        <f t="shared" si="27"/>
        <v/>
      </c>
      <c r="Q159" s="718" t="str">
        <f t="shared" si="28"/>
        <v/>
      </c>
      <c r="R159" s="943" t="str">
        <f>IF(I159="","",SUMIF('Annex Aerodromes'!$E$59:$E$258, E159, 'Annex Aerodromes'!$I$59:$I$258))</f>
        <v/>
      </c>
      <c r="S159" s="53"/>
      <c r="T159" s="312"/>
      <c r="AE159" s="914" t="s">
        <v>168</v>
      </c>
    </row>
    <row r="160" spans="3:31" ht="13.35" customHeight="1" x14ac:dyDescent="0.25">
      <c r="C160" s="60"/>
      <c r="D160" s="123">
        <f t="shared" si="20"/>
        <v>18</v>
      </c>
      <c r="E160" s="1092" t="str">
        <f t="shared" si="21"/>
        <v/>
      </c>
      <c r="F160" s="1093"/>
      <c r="G160" s="160" t="str">
        <f t="shared" si="22"/>
        <v/>
      </c>
      <c r="H160" s="160" t="str">
        <f t="shared" si="23"/>
        <v/>
      </c>
      <c r="I160" s="489"/>
      <c r="J160" s="717" t="str">
        <f t="shared" si="17"/>
        <v/>
      </c>
      <c r="K160" s="718" t="str">
        <f t="shared" si="18"/>
        <v/>
      </c>
      <c r="L160" s="718" t="str">
        <f t="shared" si="29"/>
        <v/>
      </c>
      <c r="M160" s="718" t="str">
        <f t="shared" si="24"/>
        <v/>
      </c>
      <c r="N160" s="718" t="str">
        <f t="shared" si="25"/>
        <v/>
      </c>
      <c r="O160" s="718" t="str">
        <f t="shared" si="26"/>
        <v/>
      </c>
      <c r="P160" s="718" t="str">
        <f t="shared" si="27"/>
        <v/>
      </c>
      <c r="Q160" s="718" t="str">
        <f t="shared" si="28"/>
        <v/>
      </c>
      <c r="R160" s="943" t="str">
        <f>IF(I160="","",SUMIF('Annex Aerodromes'!$E$59:$E$258, E160, 'Annex Aerodromes'!$I$59:$I$258))</f>
        <v/>
      </c>
      <c r="S160" s="53"/>
      <c r="T160" s="312"/>
      <c r="AE160" s="914" t="s">
        <v>168</v>
      </c>
    </row>
    <row r="161" spans="1:32" hidden="1" x14ac:dyDescent="0.25">
      <c r="A161" s="124" t="s">
        <v>38</v>
      </c>
      <c r="C161" s="60"/>
      <c r="D161" s="123" t="s">
        <v>82</v>
      </c>
      <c r="E161" s="1112" t="s">
        <v>82</v>
      </c>
      <c r="F161" s="1112"/>
      <c r="G161" s="393" t="s">
        <v>82</v>
      </c>
      <c r="H161" s="393" t="s">
        <v>82</v>
      </c>
      <c r="I161" s="393" t="s">
        <v>82</v>
      </c>
      <c r="J161" s="393" t="s">
        <v>82</v>
      </c>
      <c r="K161" s="393" t="s">
        <v>82</v>
      </c>
      <c r="L161" s="393" t="s">
        <v>82</v>
      </c>
      <c r="M161" s="393" t="s">
        <v>82</v>
      </c>
      <c r="N161" s="393" t="s">
        <v>82</v>
      </c>
      <c r="O161" s="393" t="s">
        <v>82</v>
      </c>
      <c r="P161" s="393" t="s">
        <v>82</v>
      </c>
      <c r="Q161" s="393" t="s">
        <v>82</v>
      </c>
      <c r="R161" s="393" t="s">
        <v>82</v>
      </c>
      <c r="S161" s="53"/>
      <c r="T161" s="312"/>
      <c r="AE161" s="914" t="s">
        <v>168</v>
      </c>
    </row>
    <row r="162" spans="1:32" s="53" customFormat="1" ht="13.2" customHeight="1" x14ac:dyDescent="0.25">
      <c r="A162" s="129"/>
      <c r="D162" s="1194" t="s">
        <v>2057</v>
      </c>
      <c r="E162" s="1194"/>
      <c r="F162" s="1194"/>
      <c r="G162" s="1194"/>
      <c r="H162" s="1194"/>
      <c r="I162" s="1194"/>
      <c r="J162" s="1194"/>
      <c r="K162" s="1194"/>
      <c r="L162" s="80"/>
      <c r="M162" s="80"/>
      <c r="N162" s="80"/>
      <c r="R162" s="920"/>
      <c r="U162" s="130"/>
      <c r="V162" s="129"/>
      <c r="W162" s="129"/>
      <c r="X162" s="129"/>
      <c r="Y162" s="129"/>
      <c r="Z162" s="129"/>
      <c r="AA162" s="129"/>
      <c r="AB162" s="129"/>
      <c r="AC162" s="129"/>
      <c r="AD162" s="129"/>
      <c r="AE162" s="915" t="s">
        <v>11</v>
      </c>
      <c r="AF162" s="312" t="s">
        <v>2058</v>
      </c>
    </row>
    <row r="163" spans="1:32" s="53" customFormat="1" ht="13.2" customHeight="1" thickBot="1" x14ac:dyDescent="0.3">
      <c r="A163" s="129"/>
      <c r="D163" s="131"/>
      <c r="E163" s="131"/>
      <c r="F163" s="131"/>
      <c r="G163" s="131"/>
      <c r="H163" s="131"/>
      <c r="I163" s="131"/>
      <c r="J163" s="131"/>
      <c r="K163" s="131"/>
      <c r="L163" s="131"/>
      <c r="M163" s="131"/>
      <c r="N163" s="80"/>
      <c r="R163" s="920"/>
      <c r="U163" s="130"/>
      <c r="V163" s="129"/>
      <c r="W163" s="129"/>
      <c r="X163" s="129"/>
      <c r="Y163" s="129"/>
      <c r="Z163" s="129"/>
      <c r="AA163" s="129"/>
      <c r="AB163" s="129"/>
      <c r="AC163" s="129"/>
      <c r="AD163" s="129"/>
      <c r="AE163" s="915"/>
      <c r="AF163" s="312"/>
    </row>
    <row r="164" spans="1:32" s="118" customFormat="1" ht="12.75" customHeight="1" thickBot="1" x14ac:dyDescent="0.3">
      <c r="A164" s="135"/>
      <c r="D164" s="1106" t="str">
        <f>Translations!$B$1269</f>
        <v>Total CO2 emissions (EU ETS) in the reporting year:</v>
      </c>
      <c r="E164" s="1107"/>
      <c r="F164" s="1107"/>
      <c r="G164" s="1107"/>
      <c r="H164" s="1107"/>
      <c r="I164" s="1108"/>
      <c r="J164" s="136">
        <f>ROUND(SUM(J143:J161),0)</f>
        <v>63522</v>
      </c>
      <c r="K164" s="597"/>
      <c r="S164" s="53"/>
      <c r="T164" s="53"/>
      <c r="U164" s="135"/>
      <c r="V164" s="135"/>
      <c r="W164" s="771"/>
      <c r="X164" s="135"/>
      <c r="Y164" s="135"/>
      <c r="Z164" s="135"/>
      <c r="AA164" s="135"/>
      <c r="AB164" s="135"/>
      <c r="AC164" s="135"/>
      <c r="AD164" s="135"/>
      <c r="AE164" s="915"/>
      <c r="AF164" s="491"/>
    </row>
    <row r="165" spans="1:32" s="53" customFormat="1" ht="63.75" customHeight="1" thickBot="1" x14ac:dyDescent="0.3">
      <c r="A165" s="129"/>
      <c r="D165" s="1101" t="str">
        <f>Translations!$B$938</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v>
      </c>
      <c r="E165" s="1102"/>
      <c r="F165" s="1102"/>
      <c r="G165" s="1102"/>
      <c r="H165" s="1102"/>
      <c r="I165" s="1102"/>
      <c r="J165" s="1102"/>
      <c r="K165" s="1103"/>
      <c r="L165" s="578"/>
      <c r="M165" s="578"/>
      <c r="N165" s="80"/>
      <c r="R165" s="920"/>
      <c r="U165" s="130"/>
      <c r="V165" s="771"/>
      <c r="W165" s="129"/>
      <c r="X165" s="129"/>
      <c r="Y165" s="129"/>
      <c r="Z165" s="129"/>
      <c r="AA165" s="129"/>
      <c r="AB165" s="129"/>
      <c r="AC165" s="129"/>
      <c r="AD165" s="129"/>
      <c r="AE165" s="915"/>
      <c r="AF165" s="312"/>
    </row>
    <row r="166" spans="1:32" s="53" customFormat="1" ht="5.0999999999999996" customHeight="1" x14ac:dyDescent="0.25">
      <c r="A166" s="129"/>
      <c r="D166" s="131"/>
      <c r="E166" s="131"/>
      <c r="F166" s="131"/>
      <c r="G166" s="131"/>
      <c r="H166" s="131"/>
      <c r="I166" s="131"/>
      <c r="J166" s="131"/>
      <c r="K166" s="131"/>
      <c r="L166" s="131"/>
      <c r="M166" s="131"/>
      <c r="N166" s="80"/>
      <c r="R166" s="920"/>
      <c r="U166" s="130"/>
      <c r="V166" s="129"/>
      <c r="W166" s="129"/>
      <c r="X166" s="129"/>
      <c r="Y166" s="129"/>
      <c r="Z166" s="129"/>
      <c r="AA166" s="129"/>
      <c r="AB166" s="129"/>
      <c r="AC166" s="129"/>
      <c r="AD166" s="129"/>
      <c r="AE166" s="915"/>
      <c r="AF166" s="312"/>
    </row>
    <row r="167" spans="1:32" s="118" customFormat="1" ht="12.75" customHeight="1" x14ac:dyDescent="0.25">
      <c r="A167" s="135"/>
      <c r="D167" s="1109" t="s">
        <v>169</v>
      </c>
      <c r="E167" s="1110"/>
      <c r="F167" s="1110"/>
      <c r="G167" s="1110"/>
      <c r="H167" s="1110"/>
      <c r="I167" s="1110"/>
      <c r="J167" s="1111"/>
      <c r="K167" s="137">
        <f>ROUND(SUM(K143:K161),0)</f>
        <v>300</v>
      </c>
      <c r="L167" s="793"/>
      <c r="M167" s="793"/>
      <c r="N167" s="793"/>
      <c r="O167" s="793"/>
      <c r="P167" s="793"/>
      <c r="Q167" s="159"/>
      <c r="R167" s="936"/>
      <c r="T167" s="491"/>
      <c r="U167" s="135" t="s">
        <v>170</v>
      </c>
      <c r="V167" s="135"/>
      <c r="W167" s="771"/>
      <c r="X167" s="135"/>
      <c r="Y167" s="135"/>
      <c r="Z167" s="135"/>
      <c r="AA167" s="135"/>
      <c r="AB167" s="135"/>
      <c r="AC167" s="135"/>
      <c r="AD167" s="135"/>
      <c r="AE167" s="916" t="s">
        <v>11</v>
      </c>
      <c r="AF167" s="491"/>
    </row>
    <row r="168" spans="1:32" s="118" customFormat="1" ht="12.75" customHeight="1" x14ac:dyDescent="0.25">
      <c r="A168" s="135"/>
      <c r="D168" s="1187" t="s">
        <v>171</v>
      </c>
      <c r="E168" s="1188"/>
      <c r="F168" s="1188"/>
      <c r="G168" s="1188"/>
      <c r="H168" s="1188"/>
      <c r="I168" s="117"/>
      <c r="J168" s="116"/>
      <c r="K168" s="137">
        <f>ROUND(SUM(J143:K161),0)</f>
        <v>63823</v>
      </c>
      <c r="L168" s="793"/>
      <c r="M168" s="793"/>
      <c r="N168" s="793"/>
      <c r="O168" s="793"/>
      <c r="P168" s="793"/>
      <c r="Q168" s="159"/>
      <c r="R168" s="936"/>
      <c r="T168" s="491"/>
      <c r="U168" s="135" t="s">
        <v>172</v>
      </c>
      <c r="V168" s="135"/>
      <c r="W168" s="771"/>
      <c r="X168" s="135"/>
      <c r="Y168" s="135"/>
      <c r="Z168" s="135"/>
      <c r="AA168" s="135"/>
      <c r="AB168" s="135"/>
      <c r="AC168" s="135"/>
      <c r="AD168" s="135"/>
      <c r="AE168" s="916" t="s">
        <v>11</v>
      </c>
      <c r="AF168" s="491"/>
    </row>
    <row r="169" spans="1:32" x14ac:dyDescent="0.25">
      <c r="C169" s="312"/>
      <c r="D169" s="787" t="s">
        <v>173</v>
      </c>
      <c r="E169" s="788"/>
      <c r="F169" s="789"/>
      <c r="G169" s="789"/>
      <c r="H169" s="789"/>
      <c r="I169" s="789"/>
      <c r="J169" s="789"/>
      <c r="K169" s="789"/>
      <c r="L169" s="137">
        <f>IF(SUM(L$143:L$161)=0,"",SUM(L$143:L$161))</f>
        <v>284.40000000000003</v>
      </c>
      <c r="M169" s="792"/>
      <c r="N169" s="792"/>
      <c r="O169" s="792"/>
      <c r="P169" s="792"/>
      <c r="Q169" s="153"/>
      <c r="R169" s="937"/>
      <c r="T169" s="491"/>
      <c r="U169" s="135" t="s">
        <v>174</v>
      </c>
      <c r="AE169" s="916" t="s">
        <v>11</v>
      </c>
    </row>
    <row r="170" spans="1:32" x14ac:dyDescent="0.25">
      <c r="C170" s="312"/>
      <c r="D170" s="790" t="s">
        <v>175</v>
      </c>
      <c r="E170" s="791"/>
      <c r="F170" s="792"/>
      <c r="G170" s="792"/>
      <c r="H170" s="792"/>
      <c r="I170" s="792"/>
      <c r="J170" s="792"/>
      <c r="K170" s="792"/>
      <c r="L170" s="792"/>
      <c r="M170" s="137">
        <f t="shared" ref="M170:O172" si="30">IF(SUM(M$143:M$161)=0,"",SUM(M$143:M$161))</f>
        <v>15.8</v>
      </c>
      <c r="N170" s="792"/>
      <c r="O170" s="792"/>
      <c r="P170" s="792"/>
      <c r="Q170" s="153"/>
      <c r="R170" s="937"/>
      <c r="T170" s="491"/>
      <c r="U170" s="135" t="s">
        <v>176</v>
      </c>
      <c r="AE170" s="916" t="s">
        <v>11</v>
      </c>
    </row>
    <row r="171" spans="1:32" x14ac:dyDescent="0.25">
      <c r="C171" s="312"/>
      <c r="D171" s="790" t="s">
        <v>177</v>
      </c>
      <c r="E171" s="791"/>
      <c r="F171" s="792"/>
      <c r="G171" s="792"/>
      <c r="H171" s="792"/>
      <c r="I171" s="792"/>
      <c r="J171" s="792"/>
      <c r="K171" s="792"/>
      <c r="L171" s="792"/>
      <c r="M171" s="792"/>
      <c r="N171" s="137" t="str">
        <f t="shared" si="30"/>
        <v/>
      </c>
      <c r="O171" s="792"/>
      <c r="P171" s="792"/>
      <c r="Q171" s="153"/>
      <c r="R171" s="937"/>
      <c r="T171" s="491"/>
      <c r="U171" s="135" t="s">
        <v>178</v>
      </c>
      <c r="AE171" s="916" t="s">
        <v>11</v>
      </c>
    </row>
    <row r="172" spans="1:32" x14ac:dyDescent="0.25">
      <c r="C172" s="312"/>
      <c r="D172" s="790" t="s">
        <v>179</v>
      </c>
      <c r="E172" s="791"/>
      <c r="F172" s="792"/>
      <c r="G172" s="792"/>
      <c r="H172" s="792"/>
      <c r="I172" s="792"/>
      <c r="J172" s="792"/>
      <c r="K172" s="792"/>
      <c r="L172" s="792"/>
      <c r="M172" s="792"/>
      <c r="N172" s="792"/>
      <c r="O172" s="137">
        <f t="shared" si="30"/>
        <v>6.32</v>
      </c>
      <c r="P172" s="792"/>
      <c r="Q172" s="153"/>
      <c r="R172" s="937"/>
      <c r="T172" s="491"/>
      <c r="U172" s="135" t="s">
        <v>180</v>
      </c>
      <c r="AE172" s="916" t="s">
        <v>11</v>
      </c>
    </row>
    <row r="173" spans="1:32" x14ac:dyDescent="0.25">
      <c r="C173" s="312"/>
      <c r="D173" s="790" t="s">
        <v>181</v>
      </c>
      <c r="E173" s="791"/>
      <c r="F173" s="792"/>
      <c r="G173" s="792"/>
      <c r="H173" s="792"/>
      <c r="I173" s="792"/>
      <c r="J173" s="792"/>
      <c r="K173" s="792"/>
      <c r="L173" s="792"/>
      <c r="M173" s="792"/>
      <c r="N173" s="792"/>
      <c r="O173" s="792"/>
      <c r="P173" s="137" t="str">
        <f>IF(SUM(P$143:P$161)=0,"",SUM(P$143:P$161))</f>
        <v/>
      </c>
      <c r="Q173" s="153"/>
      <c r="R173" s="937"/>
      <c r="T173" s="491"/>
      <c r="U173" s="135" t="s">
        <v>182</v>
      </c>
      <c r="AE173" s="916" t="s">
        <v>11</v>
      </c>
    </row>
    <row r="174" spans="1:32" x14ac:dyDescent="0.25">
      <c r="C174" s="312"/>
      <c r="D174" s="790" t="s">
        <v>183</v>
      </c>
      <c r="E174" s="791"/>
      <c r="F174" s="792"/>
      <c r="G174" s="792"/>
      <c r="H174" s="792"/>
      <c r="I174" s="792"/>
      <c r="J174" s="792"/>
      <c r="K174" s="792"/>
      <c r="L174" s="792"/>
      <c r="M174" s="792"/>
      <c r="N174" s="792"/>
      <c r="O174" s="792"/>
      <c r="P174" s="792"/>
      <c r="Q174" s="137" t="str">
        <f>IF(SUM(Q$143:Q$161)=0,"",SUM(Q$143:Q$161))</f>
        <v/>
      </c>
      <c r="R174" s="938"/>
      <c r="T174" s="491"/>
      <c r="U174" s="135" t="s">
        <v>184</v>
      </c>
      <c r="AE174" s="916" t="s">
        <v>11</v>
      </c>
    </row>
    <row r="176" spans="1:32" x14ac:dyDescent="0.25">
      <c r="B176" s="484"/>
      <c r="C176" s="484"/>
      <c r="D176" s="484"/>
      <c r="E176" s="484"/>
      <c r="F176" s="484"/>
      <c r="G176" s="484"/>
      <c r="H176" s="484"/>
      <c r="I176" s="484"/>
      <c r="J176" s="484"/>
      <c r="K176" s="484"/>
      <c r="L176" s="484"/>
      <c r="M176" s="484"/>
      <c r="N176" s="484"/>
      <c r="O176" s="484"/>
      <c r="P176" s="484"/>
      <c r="Q176" s="484"/>
      <c r="R176" s="484"/>
      <c r="S176" s="484"/>
    </row>
    <row r="177" spans="1:32" x14ac:dyDescent="0.25">
      <c r="B177" s="484"/>
      <c r="C177" s="60" t="s">
        <v>47</v>
      </c>
      <c r="D177" s="60" t="str">
        <f>Translations!$B$1270</f>
        <v>Fuel consumption and emissions in the CH ETS</v>
      </c>
      <c r="S177" s="484"/>
    </row>
    <row r="178" spans="1:32" s="53" customFormat="1" ht="12.75" customHeight="1" x14ac:dyDescent="0.25">
      <c r="A178" s="129"/>
      <c r="B178" s="486"/>
      <c r="D178" s="1119" t="str">
        <f>Translations!$B$1271</f>
        <v xml:space="preserve">For instructions on filling this section see above under section (c). </v>
      </c>
      <c r="E178" s="1119"/>
      <c r="F178" s="1119"/>
      <c r="G178" s="1119"/>
      <c r="H178" s="1119"/>
      <c r="I178" s="1119"/>
      <c r="J178" s="1119"/>
      <c r="K178" s="1119"/>
      <c r="L178" s="80"/>
      <c r="M178" s="80"/>
      <c r="R178" s="920"/>
      <c r="S178" s="488"/>
      <c r="U178" s="130"/>
      <c r="V178" s="129"/>
      <c r="W178" s="129"/>
      <c r="X178" s="129"/>
      <c r="Y178" s="129"/>
      <c r="Z178" s="129"/>
      <c r="AA178" s="129"/>
      <c r="AB178" s="129"/>
      <c r="AC178" s="129"/>
      <c r="AD178" s="129"/>
      <c r="AE178" s="915"/>
      <c r="AF178" s="312"/>
    </row>
    <row r="179" spans="1:32" s="907" customFormat="1" ht="13.2" customHeight="1" x14ac:dyDescent="0.25">
      <c r="A179" s="129"/>
      <c r="B179" s="486"/>
      <c r="D179" s="1122" t="s">
        <v>2089</v>
      </c>
      <c r="E179" s="1122"/>
      <c r="F179" s="1122"/>
      <c r="G179" s="1122"/>
      <c r="H179" s="1122"/>
      <c r="I179" s="1122"/>
      <c r="J179" s="1122"/>
      <c r="K179" s="1122"/>
      <c r="L179" s="1123"/>
      <c r="M179" s="1123"/>
      <c r="N179" s="1123"/>
      <c r="O179" s="1123"/>
      <c r="P179" s="1123"/>
      <c r="Q179" s="1123"/>
      <c r="R179" s="930"/>
      <c r="S179" s="488"/>
      <c r="U179" s="130"/>
      <c r="V179" s="129"/>
      <c r="W179" s="129"/>
      <c r="X179" s="129"/>
      <c r="Y179" s="129"/>
      <c r="Z179" s="129"/>
      <c r="AA179" s="129"/>
      <c r="AB179" s="129"/>
      <c r="AC179" s="129"/>
      <c r="AD179" s="129"/>
      <c r="AE179" s="915"/>
      <c r="AF179" s="312" t="s">
        <v>2073</v>
      </c>
    </row>
    <row r="180" spans="1:32" s="53" customFormat="1" ht="5.0999999999999996" customHeight="1" x14ac:dyDescent="0.25">
      <c r="A180" s="129"/>
      <c r="B180" s="486"/>
      <c r="D180" s="131"/>
      <c r="E180" s="131"/>
      <c r="F180" s="131"/>
      <c r="G180" s="131"/>
      <c r="H180" s="131"/>
      <c r="I180" s="131"/>
      <c r="J180" s="131"/>
      <c r="K180" s="131"/>
      <c r="L180" s="131"/>
      <c r="M180" s="131"/>
      <c r="R180" s="920"/>
      <c r="S180" s="488"/>
      <c r="U180" s="130"/>
      <c r="V180" s="129"/>
      <c r="W180" s="129"/>
      <c r="X180" s="129"/>
      <c r="Y180" s="129"/>
      <c r="Z180" s="129"/>
      <c r="AA180" s="129"/>
      <c r="AB180" s="129"/>
      <c r="AC180" s="129"/>
      <c r="AD180" s="129"/>
      <c r="AE180" s="915"/>
      <c r="AF180" s="312"/>
    </row>
    <row r="181" spans="1:32" ht="38.25" customHeight="1" x14ac:dyDescent="0.25">
      <c r="B181" s="486"/>
      <c r="C181" s="60"/>
      <c r="D181" s="52" t="str">
        <f>Translations!$B$914</f>
        <v>Fuel No.</v>
      </c>
      <c r="E181" s="1094" t="str">
        <f>Translations!$B$915</f>
        <v>Name of fuel</v>
      </c>
      <c r="F181" s="1095"/>
      <c r="G181" s="52" t="s">
        <v>75</v>
      </c>
      <c r="H181" s="52" t="str">
        <f>Translations!$B$934</f>
        <v>(final) EF 
[t CO2 / t fuel]</v>
      </c>
      <c r="I181" s="52" t="str">
        <f>Translations!$B$935</f>
        <v>fuel consumption [tonnes]</v>
      </c>
      <c r="J181" s="52" t="s">
        <v>160</v>
      </c>
      <c r="K181" s="134" t="s">
        <v>161</v>
      </c>
      <c r="L181" s="134" t="s">
        <v>162</v>
      </c>
      <c r="M181" s="134" t="s">
        <v>163</v>
      </c>
      <c r="N181" s="134" t="s">
        <v>164</v>
      </c>
      <c r="O181" s="134" t="s">
        <v>165</v>
      </c>
      <c r="P181" s="134" t="s">
        <v>166</v>
      </c>
      <c r="Q181" s="134" t="s">
        <v>167</v>
      </c>
      <c r="R181" s="932"/>
      <c r="S181" s="488"/>
      <c r="T181" s="312"/>
      <c r="AE181" s="914" t="s">
        <v>168</v>
      </c>
    </row>
    <row r="182" spans="1:32" x14ac:dyDescent="0.25">
      <c r="B182" s="486"/>
      <c r="C182" s="60"/>
      <c r="D182" s="123">
        <v>1</v>
      </c>
      <c r="E182" s="1096" t="s">
        <v>79</v>
      </c>
      <c r="F182" s="1096"/>
      <c r="G182" s="160">
        <f t="shared" ref="G182:G199" si="31">IF(ISNUMBER(L83),L83,"")</f>
        <v>3.16</v>
      </c>
      <c r="H182" s="160">
        <f t="shared" ref="H182:H199" si="32">IF(ISNUMBER(G182),G182*IF(N83=TRUE,0,1),"")</f>
        <v>3.16</v>
      </c>
      <c r="I182" s="489"/>
      <c r="J182" s="717" t="str">
        <f>IF(I182="","",H182*I182)</f>
        <v/>
      </c>
      <c r="K182" s="718" t="str">
        <f>IF(I182="","",IF(H182="","",IF(H182=0,G182*I182,"")))</f>
        <v/>
      </c>
      <c r="L182" s="719"/>
      <c r="M182" s="719"/>
      <c r="N182" s="720"/>
      <c r="O182" s="720"/>
      <c r="P182" s="720"/>
      <c r="Q182" s="720"/>
      <c r="R182" s="933"/>
      <c r="S182" s="488"/>
      <c r="T182" s="312"/>
      <c r="AE182" s="914" t="s">
        <v>168</v>
      </c>
    </row>
    <row r="183" spans="1:32" ht="13.35" customHeight="1" x14ac:dyDescent="0.25">
      <c r="B183" s="486"/>
      <c r="C183" s="60"/>
      <c r="D183" s="123">
        <f>D182+1</f>
        <v>2</v>
      </c>
      <c r="E183" s="1096" t="s">
        <v>80</v>
      </c>
      <c r="F183" s="1096"/>
      <c r="G183" s="160">
        <f t="shared" si="31"/>
        <v>3.1</v>
      </c>
      <c r="H183" s="160">
        <f t="shared" si="32"/>
        <v>3.1</v>
      </c>
      <c r="I183" s="489"/>
      <c r="J183" s="717" t="str">
        <f t="shared" ref="J183:J199" si="33">IF(I183="","",H183*I183)</f>
        <v/>
      </c>
      <c r="K183" s="718" t="str">
        <f t="shared" ref="K183:K186" si="34">IF(I183="","",IF(H183="","",IF(H183=0,G183*I183,"")))</f>
        <v/>
      </c>
      <c r="L183" s="719"/>
      <c r="M183" s="719"/>
      <c r="N183" s="720"/>
      <c r="O183" s="720"/>
      <c r="P183" s="720"/>
      <c r="Q183" s="720"/>
      <c r="R183" s="933"/>
      <c r="S183" s="488"/>
      <c r="T183" s="312"/>
      <c r="AE183" s="914" t="s">
        <v>168</v>
      </c>
    </row>
    <row r="184" spans="1:32" ht="12.75" customHeight="1" x14ac:dyDescent="0.25">
      <c r="B184" s="486"/>
      <c r="C184" s="60"/>
      <c r="D184" s="123">
        <f t="shared" ref="D184:D199" si="35">D183+1</f>
        <v>3</v>
      </c>
      <c r="E184" s="1090" t="s">
        <v>81</v>
      </c>
      <c r="F184" s="1091"/>
      <c r="G184" s="160">
        <f t="shared" si="31"/>
        <v>3.1</v>
      </c>
      <c r="H184" s="160">
        <f t="shared" si="32"/>
        <v>3.1</v>
      </c>
      <c r="I184" s="489"/>
      <c r="J184" s="717" t="str">
        <f t="shared" si="33"/>
        <v/>
      </c>
      <c r="K184" s="718" t="str">
        <f t="shared" si="34"/>
        <v/>
      </c>
      <c r="L184" s="719"/>
      <c r="M184" s="719"/>
      <c r="N184" s="720"/>
      <c r="O184" s="720"/>
      <c r="P184" s="720"/>
      <c r="Q184" s="720"/>
      <c r="R184" s="933"/>
      <c r="S184" s="488"/>
      <c r="T184" s="312"/>
      <c r="AE184" s="914" t="s">
        <v>168</v>
      </c>
    </row>
    <row r="185" spans="1:32" ht="13.35" customHeight="1" x14ac:dyDescent="0.25">
      <c r="B185" s="486"/>
      <c r="C185" s="60"/>
      <c r="D185" s="123">
        <f t="shared" si="35"/>
        <v>4</v>
      </c>
      <c r="E185" s="1092" t="str">
        <f t="shared" ref="E185:E199" si="36">INDEX(CNTR_FuelListNames,D185-3)</f>
        <v>4. HEFA</v>
      </c>
      <c r="F185" s="1093"/>
      <c r="G185" s="160">
        <f t="shared" si="31"/>
        <v>3.16</v>
      </c>
      <c r="H185" s="160">
        <f t="shared" si="32"/>
        <v>0</v>
      </c>
      <c r="I185" s="489"/>
      <c r="J185" s="717" t="str">
        <f t="shared" si="33"/>
        <v/>
      </c>
      <c r="K185" s="718" t="str">
        <f t="shared" si="34"/>
        <v/>
      </c>
      <c r="L185" s="718" t="str">
        <f t="shared" ref="L185:L199" si="37">IF(AND($E185&lt;&gt;"",ISNUMBER($I185),INDEX(CNTR_FuelListIsBioFuel,MATCH($E185,CNTR_FuelListNames,0))=TRUE,$H185=0),$K185,"")</f>
        <v/>
      </c>
      <c r="M185" s="718" t="str">
        <f t="shared" ref="M185:M199" si="38">IF(AND($E185&lt;&gt;"",ISNUMBER($I185),INDEX(CNTR_FuelListIsRF,MATCH($E185,CNTR_FuelListNames,0))=TRUE,$H185=0),$K185,"")</f>
        <v/>
      </c>
      <c r="N185" s="718" t="str">
        <f t="shared" ref="N185:N199" si="39">IF(AND($E185&lt;&gt;"",ISNUMBER($I185),INDEX(CNTR_FuelListIsSLCF,MATCH($E185,CNTR_FuelListNames,0))=TRUE,$H185=0),$K185,"")</f>
        <v/>
      </c>
      <c r="O185" s="718" t="str">
        <f t="shared" ref="O185:O199" si="40">IF(AND($E185&lt;&gt;"",ISNUMBER($I185),INDEX(CNTR_FuelListIsBioFuel,MATCH($E185,CNTR_FuelListNames,0))=TRUE,$H185&lt;&gt;0),$J185,"")</f>
        <v/>
      </c>
      <c r="P185" s="718" t="str">
        <f t="shared" ref="P185:P199" si="41">IF(AND($E185&lt;&gt;"",ISNUMBER($I185),INDEX(CNTR_FuelListIsRF,MATCH($E185,CNTR_FuelListNames,0))=TRUE,$H185&lt;&gt;0),$J185,"")</f>
        <v/>
      </c>
      <c r="Q185" s="718" t="str">
        <f t="shared" ref="Q185:Q199" si="42">IF(AND($E185&lt;&gt;"",ISNUMBER($I185),INDEX(CNTR_FuelListIsSLCF,MATCH($E185,CNTR_FuelListNames,0))=TRUE,$H185&lt;&gt;0),$J185,"")</f>
        <v/>
      </c>
      <c r="R185" s="934"/>
      <c r="S185" s="488"/>
      <c r="T185" s="312"/>
      <c r="AE185" s="914" t="s">
        <v>168</v>
      </c>
    </row>
    <row r="186" spans="1:32" ht="13.35" customHeight="1" x14ac:dyDescent="0.25">
      <c r="B186" s="486"/>
      <c r="C186" s="60"/>
      <c r="D186" s="123">
        <f t="shared" si="35"/>
        <v>5</v>
      </c>
      <c r="E186" s="1092" t="str">
        <f t="shared" si="36"/>
        <v>5. RFNBO EDDF</v>
      </c>
      <c r="F186" s="1093"/>
      <c r="G186" s="160">
        <f t="shared" si="31"/>
        <v>3.16</v>
      </c>
      <c r="H186" s="160">
        <f t="shared" si="32"/>
        <v>0</v>
      </c>
      <c r="I186" s="489"/>
      <c r="J186" s="717" t="str">
        <f t="shared" si="33"/>
        <v/>
      </c>
      <c r="K186" s="718" t="str">
        <f t="shared" si="34"/>
        <v/>
      </c>
      <c r="L186" s="718" t="str">
        <f t="shared" si="37"/>
        <v/>
      </c>
      <c r="M186" s="718" t="str">
        <f t="shared" si="38"/>
        <v/>
      </c>
      <c r="N186" s="718" t="str">
        <f t="shared" si="39"/>
        <v/>
      </c>
      <c r="O186" s="718" t="str">
        <f t="shared" si="40"/>
        <v/>
      </c>
      <c r="P186" s="718" t="str">
        <f t="shared" si="41"/>
        <v/>
      </c>
      <c r="Q186" s="718" t="str">
        <f t="shared" si="42"/>
        <v/>
      </c>
      <c r="R186" s="934"/>
      <c r="S186" s="488"/>
      <c r="T186" s="312"/>
      <c r="AE186" s="914" t="s">
        <v>168</v>
      </c>
    </row>
    <row r="187" spans="1:32" ht="12.75" customHeight="1" x14ac:dyDescent="0.25">
      <c r="B187" s="486"/>
      <c r="C187" s="60"/>
      <c r="D187" s="123">
        <f t="shared" si="35"/>
        <v>6</v>
      </c>
      <c r="E187" s="1092" t="str">
        <f t="shared" si="36"/>
        <v>6. ATJ</v>
      </c>
      <c r="F187" s="1093"/>
      <c r="G187" s="160">
        <f t="shared" si="31"/>
        <v>3.16</v>
      </c>
      <c r="H187" s="160">
        <f t="shared" si="32"/>
        <v>3.16</v>
      </c>
      <c r="I187" s="489"/>
      <c r="J187" s="717" t="str">
        <f t="shared" si="33"/>
        <v/>
      </c>
      <c r="K187" s="718" t="str">
        <f>IF(I187="","",IF(H187="","",IF(H187=0,G187*I187,"")))</f>
        <v/>
      </c>
      <c r="L187" s="718" t="str">
        <f t="shared" si="37"/>
        <v/>
      </c>
      <c r="M187" s="718" t="str">
        <f t="shared" si="38"/>
        <v/>
      </c>
      <c r="N187" s="718" t="str">
        <f t="shared" si="39"/>
        <v/>
      </c>
      <c r="O187" s="718" t="str">
        <f t="shared" si="40"/>
        <v/>
      </c>
      <c r="P187" s="718" t="str">
        <f t="shared" si="41"/>
        <v/>
      </c>
      <c r="Q187" s="718" t="str">
        <f t="shared" si="42"/>
        <v/>
      </c>
      <c r="R187" s="934"/>
      <c r="S187" s="488"/>
      <c r="T187" s="312"/>
      <c r="AE187" s="914" t="s">
        <v>168</v>
      </c>
    </row>
    <row r="188" spans="1:32" ht="13.35" customHeight="1" x14ac:dyDescent="0.25">
      <c r="B188" s="486"/>
      <c r="C188" s="60"/>
      <c r="D188" s="123">
        <f t="shared" si="35"/>
        <v>7</v>
      </c>
      <c r="E188" s="1092" t="str">
        <f t="shared" si="36"/>
        <v/>
      </c>
      <c r="F188" s="1093"/>
      <c r="G188" s="160" t="str">
        <f t="shared" si="31"/>
        <v/>
      </c>
      <c r="H188" s="160" t="str">
        <f t="shared" si="32"/>
        <v/>
      </c>
      <c r="I188" s="489"/>
      <c r="J188" s="717" t="str">
        <f t="shared" si="33"/>
        <v/>
      </c>
      <c r="K188" s="718" t="str">
        <f t="shared" ref="K188:K199" si="43">IF(I188="","",IF(H188="","",IF(H188=0,G188*I188,"")))</f>
        <v/>
      </c>
      <c r="L188" s="718" t="str">
        <f t="shared" si="37"/>
        <v/>
      </c>
      <c r="M188" s="718" t="str">
        <f t="shared" si="38"/>
        <v/>
      </c>
      <c r="N188" s="718" t="str">
        <f t="shared" si="39"/>
        <v/>
      </c>
      <c r="O188" s="718" t="str">
        <f t="shared" si="40"/>
        <v/>
      </c>
      <c r="P188" s="718" t="str">
        <f t="shared" si="41"/>
        <v/>
      </c>
      <c r="Q188" s="718" t="str">
        <f t="shared" si="42"/>
        <v/>
      </c>
      <c r="R188" s="934"/>
      <c r="S188" s="488"/>
      <c r="T188" s="312"/>
      <c r="AE188" s="914" t="s">
        <v>168</v>
      </c>
    </row>
    <row r="189" spans="1:32" ht="13.35" customHeight="1" x14ac:dyDescent="0.25">
      <c r="B189" s="486"/>
      <c r="C189" s="60"/>
      <c r="D189" s="123">
        <f t="shared" si="35"/>
        <v>8</v>
      </c>
      <c r="E189" s="1092" t="str">
        <f t="shared" si="36"/>
        <v/>
      </c>
      <c r="F189" s="1093"/>
      <c r="G189" s="160" t="str">
        <f t="shared" si="31"/>
        <v/>
      </c>
      <c r="H189" s="160" t="str">
        <f t="shared" si="32"/>
        <v/>
      </c>
      <c r="I189" s="489"/>
      <c r="J189" s="717" t="str">
        <f t="shared" si="33"/>
        <v/>
      </c>
      <c r="K189" s="718" t="str">
        <f t="shared" si="43"/>
        <v/>
      </c>
      <c r="L189" s="718" t="str">
        <f t="shared" si="37"/>
        <v/>
      </c>
      <c r="M189" s="718" t="str">
        <f t="shared" si="38"/>
        <v/>
      </c>
      <c r="N189" s="718" t="str">
        <f t="shared" si="39"/>
        <v/>
      </c>
      <c r="O189" s="718" t="str">
        <f t="shared" si="40"/>
        <v/>
      </c>
      <c r="P189" s="718" t="str">
        <f t="shared" si="41"/>
        <v/>
      </c>
      <c r="Q189" s="718" t="str">
        <f t="shared" si="42"/>
        <v/>
      </c>
      <c r="R189" s="934"/>
      <c r="S189" s="488"/>
      <c r="T189" s="312"/>
      <c r="AE189" s="914" t="s">
        <v>168</v>
      </c>
    </row>
    <row r="190" spans="1:32" ht="13.35" customHeight="1" x14ac:dyDescent="0.25">
      <c r="B190" s="486"/>
      <c r="C190" s="60"/>
      <c r="D190" s="123">
        <f t="shared" si="35"/>
        <v>9</v>
      </c>
      <c r="E190" s="1092" t="str">
        <f t="shared" si="36"/>
        <v/>
      </c>
      <c r="F190" s="1093"/>
      <c r="G190" s="160" t="str">
        <f t="shared" si="31"/>
        <v/>
      </c>
      <c r="H190" s="160" t="str">
        <f t="shared" si="32"/>
        <v/>
      </c>
      <c r="I190" s="489"/>
      <c r="J190" s="717" t="str">
        <f t="shared" si="33"/>
        <v/>
      </c>
      <c r="K190" s="718" t="str">
        <f t="shared" si="43"/>
        <v/>
      </c>
      <c r="L190" s="718" t="str">
        <f t="shared" si="37"/>
        <v/>
      </c>
      <c r="M190" s="718" t="str">
        <f t="shared" si="38"/>
        <v/>
      </c>
      <c r="N190" s="718" t="str">
        <f t="shared" si="39"/>
        <v/>
      </c>
      <c r="O190" s="718" t="str">
        <f t="shared" si="40"/>
        <v/>
      </c>
      <c r="P190" s="718" t="str">
        <f t="shared" si="41"/>
        <v/>
      </c>
      <c r="Q190" s="718" t="str">
        <f t="shared" si="42"/>
        <v/>
      </c>
      <c r="R190" s="934"/>
      <c r="S190" s="488"/>
      <c r="T190" s="312"/>
      <c r="AE190" s="914" t="s">
        <v>168</v>
      </c>
    </row>
    <row r="191" spans="1:32" ht="13.35" customHeight="1" x14ac:dyDescent="0.25">
      <c r="B191" s="486"/>
      <c r="C191" s="60"/>
      <c r="D191" s="123">
        <f t="shared" si="35"/>
        <v>10</v>
      </c>
      <c r="E191" s="1092" t="str">
        <f t="shared" si="36"/>
        <v/>
      </c>
      <c r="F191" s="1093"/>
      <c r="G191" s="160" t="str">
        <f t="shared" si="31"/>
        <v/>
      </c>
      <c r="H191" s="160" t="str">
        <f t="shared" si="32"/>
        <v/>
      </c>
      <c r="I191" s="489"/>
      <c r="J191" s="717" t="str">
        <f t="shared" si="33"/>
        <v/>
      </c>
      <c r="K191" s="718" t="str">
        <f t="shared" si="43"/>
        <v/>
      </c>
      <c r="L191" s="718" t="str">
        <f t="shared" si="37"/>
        <v/>
      </c>
      <c r="M191" s="718" t="str">
        <f t="shared" si="38"/>
        <v/>
      </c>
      <c r="N191" s="718" t="str">
        <f t="shared" si="39"/>
        <v/>
      </c>
      <c r="O191" s="718" t="str">
        <f t="shared" si="40"/>
        <v/>
      </c>
      <c r="P191" s="718" t="str">
        <f t="shared" si="41"/>
        <v/>
      </c>
      <c r="Q191" s="718" t="str">
        <f t="shared" si="42"/>
        <v/>
      </c>
      <c r="R191" s="934"/>
      <c r="S191" s="488"/>
      <c r="T191" s="312"/>
      <c r="AE191" s="914" t="s">
        <v>168</v>
      </c>
    </row>
    <row r="192" spans="1:32" ht="13.35" customHeight="1" x14ac:dyDescent="0.25">
      <c r="B192" s="486"/>
      <c r="C192" s="60"/>
      <c r="D192" s="123">
        <f t="shared" si="35"/>
        <v>11</v>
      </c>
      <c r="E192" s="1092" t="str">
        <f t="shared" si="36"/>
        <v/>
      </c>
      <c r="F192" s="1093"/>
      <c r="G192" s="160" t="str">
        <f t="shared" si="31"/>
        <v/>
      </c>
      <c r="H192" s="160" t="str">
        <f t="shared" si="32"/>
        <v/>
      </c>
      <c r="I192" s="489"/>
      <c r="J192" s="717" t="str">
        <f t="shared" si="33"/>
        <v/>
      </c>
      <c r="K192" s="718" t="str">
        <f t="shared" si="43"/>
        <v/>
      </c>
      <c r="L192" s="718" t="str">
        <f t="shared" si="37"/>
        <v/>
      </c>
      <c r="M192" s="718" t="str">
        <f t="shared" si="38"/>
        <v/>
      </c>
      <c r="N192" s="718" t="str">
        <f t="shared" si="39"/>
        <v/>
      </c>
      <c r="O192" s="718" t="str">
        <f t="shared" si="40"/>
        <v/>
      </c>
      <c r="P192" s="718" t="str">
        <f t="shared" si="41"/>
        <v/>
      </c>
      <c r="Q192" s="718" t="str">
        <f t="shared" si="42"/>
        <v/>
      </c>
      <c r="R192" s="934"/>
      <c r="S192" s="488"/>
      <c r="T192" s="312"/>
      <c r="AE192" s="914" t="s">
        <v>168</v>
      </c>
    </row>
    <row r="193" spans="1:32" ht="13.35" customHeight="1" x14ac:dyDescent="0.25">
      <c r="B193" s="486"/>
      <c r="C193" s="60"/>
      <c r="D193" s="123">
        <f t="shared" si="35"/>
        <v>12</v>
      </c>
      <c r="E193" s="1092" t="str">
        <f t="shared" si="36"/>
        <v/>
      </c>
      <c r="F193" s="1093"/>
      <c r="G193" s="160" t="str">
        <f t="shared" si="31"/>
        <v/>
      </c>
      <c r="H193" s="160" t="str">
        <f t="shared" si="32"/>
        <v/>
      </c>
      <c r="I193" s="489"/>
      <c r="J193" s="717" t="str">
        <f t="shared" si="33"/>
        <v/>
      </c>
      <c r="K193" s="718" t="str">
        <f t="shared" si="43"/>
        <v/>
      </c>
      <c r="L193" s="718" t="str">
        <f t="shared" si="37"/>
        <v/>
      </c>
      <c r="M193" s="718" t="str">
        <f t="shared" si="38"/>
        <v/>
      </c>
      <c r="N193" s="718" t="str">
        <f t="shared" si="39"/>
        <v/>
      </c>
      <c r="O193" s="718" t="str">
        <f t="shared" si="40"/>
        <v/>
      </c>
      <c r="P193" s="718" t="str">
        <f t="shared" si="41"/>
        <v/>
      </c>
      <c r="Q193" s="718" t="str">
        <f t="shared" si="42"/>
        <v/>
      </c>
      <c r="R193" s="934"/>
      <c r="S193" s="488"/>
      <c r="T193" s="312"/>
      <c r="AE193" s="914" t="s">
        <v>168</v>
      </c>
    </row>
    <row r="194" spans="1:32" ht="13.35" customHeight="1" x14ac:dyDescent="0.25">
      <c r="B194" s="486"/>
      <c r="C194" s="60"/>
      <c r="D194" s="123">
        <f t="shared" si="35"/>
        <v>13</v>
      </c>
      <c r="E194" s="1092" t="str">
        <f t="shared" si="36"/>
        <v/>
      </c>
      <c r="F194" s="1093"/>
      <c r="G194" s="160" t="str">
        <f t="shared" si="31"/>
        <v/>
      </c>
      <c r="H194" s="160" t="str">
        <f t="shared" si="32"/>
        <v/>
      </c>
      <c r="I194" s="489"/>
      <c r="J194" s="717" t="str">
        <f t="shared" si="33"/>
        <v/>
      </c>
      <c r="K194" s="718" t="str">
        <f t="shared" si="43"/>
        <v/>
      </c>
      <c r="L194" s="718" t="str">
        <f t="shared" si="37"/>
        <v/>
      </c>
      <c r="M194" s="718" t="str">
        <f t="shared" si="38"/>
        <v/>
      </c>
      <c r="N194" s="718" t="str">
        <f t="shared" si="39"/>
        <v/>
      </c>
      <c r="O194" s="718" t="str">
        <f t="shared" si="40"/>
        <v/>
      </c>
      <c r="P194" s="718" t="str">
        <f t="shared" si="41"/>
        <v/>
      </c>
      <c r="Q194" s="718" t="str">
        <f t="shared" si="42"/>
        <v/>
      </c>
      <c r="R194" s="934"/>
      <c r="S194" s="488"/>
      <c r="T194" s="312"/>
      <c r="AE194" s="914" t="s">
        <v>168</v>
      </c>
    </row>
    <row r="195" spans="1:32" ht="13.35" customHeight="1" x14ac:dyDescent="0.25">
      <c r="B195" s="486"/>
      <c r="C195" s="60"/>
      <c r="D195" s="123">
        <f t="shared" si="35"/>
        <v>14</v>
      </c>
      <c r="E195" s="1092" t="str">
        <f t="shared" si="36"/>
        <v/>
      </c>
      <c r="F195" s="1093"/>
      <c r="G195" s="160" t="str">
        <f t="shared" si="31"/>
        <v/>
      </c>
      <c r="H195" s="160" t="str">
        <f t="shared" si="32"/>
        <v/>
      </c>
      <c r="I195" s="489"/>
      <c r="J195" s="717" t="str">
        <f t="shared" si="33"/>
        <v/>
      </c>
      <c r="K195" s="718" t="str">
        <f t="shared" si="43"/>
        <v/>
      </c>
      <c r="L195" s="718" t="str">
        <f t="shared" si="37"/>
        <v/>
      </c>
      <c r="M195" s="718" t="str">
        <f t="shared" si="38"/>
        <v/>
      </c>
      <c r="N195" s="718" t="str">
        <f t="shared" si="39"/>
        <v/>
      </c>
      <c r="O195" s="718" t="str">
        <f t="shared" si="40"/>
        <v/>
      </c>
      <c r="P195" s="718" t="str">
        <f t="shared" si="41"/>
        <v/>
      </c>
      <c r="Q195" s="718" t="str">
        <f t="shared" si="42"/>
        <v/>
      </c>
      <c r="R195" s="934"/>
      <c r="S195" s="488"/>
      <c r="T195" s="312"/>
      <c r="AE195" s="914" t="s">
        <v>168</v>
      </c>
    </row>
    <row r="196" spans="1:32" ht="13.35" customHeight="1" x14ac:dyDescent="0.25">
      <c r="B196" s="486"/>
      <c r="C196" s="60"/>
      <c r="D196" s="123">
        <f t="shared" si="35"/>
        <v>15</v>
      </c>
      <c r="E196" s="1092" t="str">
        <f t="shared" si="36"/>
        <v/>
      </c>
      <c r="F196" s="1093"/>
      <c r="G196" s="160" t="str">
        <f t="shared" si="31"/>
        <v/>
      </c>
      <c r="H196" s="160" t="str">
        <f t="shared" si="32"/>
        <v/>
      </c>
      <c r="I196" s="489"/>
      <c r="J196" s="717" t="str">
        <f t="shared" si="33"/>
        <v/>
      </c>
      <c r="K196" s="718" t="str">
        <f t="shared" si="43"/>
        <v/>
      </c>
      <c r="L196" s="718" t="str">
        <f t="shared" si="37"/>
        <v/>
      </c>
      <c r="M196" s="718" t="str">
        <f t="shared" si="38"/>
        <v/>
      </c>
      <c r="N196" s="718" t="str">
        <f t="shared" si="39"/>
        <v/>
      </c>
      <c r="O196" s="718" t="str">
        <f t="shared" si="40"/>
        <v/>
      </c>
      <c r="P196" s="718" t="str">
        <f t="shared" si="41"/>
        <v/>
      </c>
      <c r="Q196" s="718" t="str">
        <f t="shared" si="42"/>
        <v/>
      </c>
      <c r="R196" s="934"/>
      <c r="S196" s="488"/>
      <c r="T196" s="312"/>
      <c r="AE196" s="914" t="s">
        <v>168</v>
      </c>
    </row>
    <row r="197" spans="1:32" ht="13.35" customHeight="1" x14ac:dyDescent="0.25">
      <c r="B197" s="486"/>
      <c r="C197" s="60"/>
      <c r="D197" s="123">
        <f t="shared" si="35"/>
        <v>16</v>
      </c>
      <c r="E197" s="1092" t="str">
        <f t="shared" si="36"/>
        <v/>
      </c>
      <c r="F197" s="1093"/>
      <c r="G197" s="160" t="str">
        <f t="shared" si="31"/>
        <v/>
      </c>
      <c r="H197" s="160" t="str">
        <f t="shared" si="32"/>
        <v/>
      </c>
      <c r="I197" s="489"/>
      <c r="J197" s="717" t="str">
        <f t="shared" si="33"/>
        <v/>
      </c>
      <c r="K197" s="718" t="str">
        <f t="shared" si="43"/>
        <v/>
      </c>
      <c r="L197" s="718" t="str">
        <f t="shared" si="37"/>
        <v/>
      </c>
      <c r="M197" s="718" t="str">
        <f t="shared" si="38"/>
        <v/>
      </c>
      <c r="N197" s="718" t="str">
        <f t="shared" si="39"/>
        <v/>
      </c>
      <c r="O197" s="718" t="str">
        <f t="shared" si="40"/>
        <v/>
      </c>
      <c r="P197" s="718" t="str">
        <f t="shared" si="41"/>
        <v/>
      </c>
      <c r="Q197" s="718" t="str">
        <f t="shared" si="42"/>
        <v/>
      </c>
      <c r="R197" s="934"/>
      <c r="S197" s="488"/>
      <c r="T197" s="312"/>
      <c r="AE197" s="914" t="s">
        <v>168</v>
      </c>
    </row>
    <row r="198" spans="1:32" ht="13.35" customHeight="1" x14ac:dyDescent="0.25">
      <c r="B198" s="486"/>
      <c r="C198" s="60"/>
      <c r="D198" s="123">
        <f t="shared" si="35"/>
        <v>17</v>
      </c>
      <c r="E198" s="1092" t="str">
        <f t="shared" si="36"/>
        <v/>
      </c>
      <c r="F198" s="1093"/>
      <c r="G198" s="160" t="str">
        <f t="shared" si="31"/>
        <v/>
      </c>
      <c r="H198" s="160" t="str">
        <f t="shared" si="32"/>
        <v/>
      </c>
      <c r="I198" s="489"/>
      <c r="J198" s="717" t="str">
        <f t="shared" si="33"/>
        <v/>
      </c>
      <c r="K198" s="718" t="str">
        <f t="shared" si="43"/>
        <v/>
      </c>
      <c r="L198" s="718" t="str">
        <f t="shared" si="37"/>
        <v/>
      </c>
      <c r="M198" s="718" t="str">
        <f t="shared" si="38"/>
        <v/>
      </c>
      <c r="N198" s="718" t="str">
        <f t="shared" si="39"/>
        <v/>
      </c>
      <c r="O198" s="718" t="str">
        <f t="shared" si="40"/>
        <v/>
      </c>
      <c r="P198" s="718" t="str">
        <f t="shared" si="41"/>
        <v/>
      </c>
      <c r="Q198" s="718" t="str">
        <f t="shared" si="42"/>
        <v/>
      </c>
      <c r="R198" s="934"/>
      <c r="S198" s="488"/>
      <c r="T198" s="312"/>
      <c r="AE198" s="914" t="s">
        <v>168</v>
      </c>
    </row>
    <row r="199" spans="1:32" ht="13.35" customHeight="1" x14ac:dyDescent="0.25">
      <c r="B199" s="486"/>
      <c r="C199" s="60"/>
      <c r="D199" s="123">
        <f t="shared" si="35"/>
        <v>18</v>
      </c>
      <c r="E199" s="1092" t="str">
        <f t="shared" si="36"/>
        <v/>
      </c>
      <c r="F199" s="1093"/>
      <c r="G199" s="160" t="str">
        <f t="shared" si="31"/>
        <v/>
      </c>
      <c r="H199" s="160" t="str">
        <f t="shared" si="32"/>
        <v/>
      </c>
      <c r="I199" s="489"/>
      <c r="J199" s="717" t="str">
        <f t="shared" si="33"/>
        <v/>
      </c>
      <c r="K199" s="718" t="str">
        <f t="shared" si="43"/>
        <v/>
      </c>
      <c r="L199" s="718" t="str">
        <f t="shared" si="37"/>
        <v/>
      </c>
      <c r="M199" s="718" t="str">
        <f t="shared" si="38"/>
        <v/>
      </c>
      <c r="N199" s="718" t="str">
        <f t="shared" si="39"/>
        <v/>
      </c>
      <c r="O199" s="718" t="str">
        <f t="shared" si="40"/>
        <v/>
      </c>
      <c r="P199" s="718" t="str">
        <f t="shared" si="41"/>
        <v/>
      </c>
      <c r="Q199" s="718" t="str">
        <f t="shared" si="42"/>
        <v/>
      </c>
      <c r="R199" s="934"/>
      <c r="S199" s="488"/>
      <c r="T199" s="312"/>
      <c r="AE199" s="914" t="s">
        <v>168</v>
      </c>
    </row>
    <row r="200" spans="1:32" hidden="1" x14ac:dyDescent="0.25">
      <c r="A200" s="124" t="s">
        <v>38</v>
      </c>
      <c r="B200" s="486"/>
      <c r="C200" s="60"/>
      <c r="D200" s="123" t="s">
        <v>82</v>
      </c>
      <c r="E200" s="1112" t="s">
        <v>82</v>
      </c>
      <c r="F200" s="1112"/>
      <c r="G200" s="393" t="s">
        <v>82</v>
      </c>
      <c r="H200" s="393" t="s">
        <v>82</v>
      </c>
      <c r="I200" s="393" t="s">
        <v>82</v>
      </c>
      <c r="J200" s="393" t="s">
        <v>82</v>
      </c>
      <c r="K200" s="393" t="s">
        <v>82</v>
      </c>
      <c r="L200" s="393" t="s">
        <v>82</v>
      </c>
      <c r="M200" s="393" t="s">
        <v>82</v>
      </c>
      <c r="N200" s="393" t="s">
        <v>82</v>
      </c>
      <c r="O200" s="393" t="s">
        <v>82</v>
      </c>
      <c r="P200" s="393" t="s">
        <v>82</v>
      </c>
      <c r="Q200" s="393" t="s">
        <v>82</v>
      </c>
      <c r="R200" s="935"/>
      <c r="S200" s="488"/>
      <c r="T200" s="312"/>
      <c r="AE200" s="914" t="s">
        <v>168</v>
      </c>
      <c r="AF200" s="312" t="s">
        <v>2056</v>
      </c>
    </row>
    <row r="201" spans="1:32" ht="13.35" customHeight="1" x14ac:dyDescent="0.25">
      <c r="B201" s="486"/>
      <c r="C201" s="60"/>
      <c r="D201" s="60"/>
      <c r="E201" s="60"/>
      <c r="F201" s="60"/>
      <c r="G201" s="60"/>
      <c r="H201" s="60"/>
      <c r="I201" s="60"/>
      <c r="J201" s="60"/>
      <c r="K201" s="60"/>
      <c r="L201" s="60"/>
      <c r="M201" s="60"/>
      <c r="N201" s="60"/>
      <c r="O201" s="60"/>
      <c r="P201" s="60"/>
      <c r="Q201" s="60"/>
      <c r="R201" s="60"/>
      <c r="S201" s="488"/>
      <c r="T201" s="312"/>
    </row>
    <row r="202" spans="1:32" ht="38.25" customHeight="1" x14ac:dyDescent="0.25">
      <c r="B202" s="484"/>
      <c r="C202" s="60"/>
      <c r="D202" s="634" t="str">
        <f>Translations!$B$914</f>
        <v>Fuel No.</v>
      </c>
      <c r="E202" s="1143" t="str">
        <f>Translations!$B$915</f>
        <v>Name of fuel</v>
      </c>
      <c r="F202" s="1144"/>
      <c r="G202" s="634" t="str">
        <f>Translations!$B$934</f>
        <v>(final) EF 
[t CO2 / t fuel]</v>
      </c>
      <c r="H202" s="634" t="str">
        <f>Translations!$B$935</f>
        <v>fuel consumption [tonnes]</v>
      </c>
      <c r="I202" s="634" t="str">
        <f>Translations!$B$928</f>
        <v>CO2 emissions 
[t CO2]</v>
      </c>
      <c r="J202" s="795" t="str">
        <f>Translations!$B$930</f>
        <v>CO2 from sustainable biomass</v>
      </c>
      <c r="K202" s="795" t="str">
        <f>Translations!$B$932</f>
        <v>CO2 from non-sustainable biomass</v>
      </c>
      <c r="L202" s="619"/>
      <c r="M202" s="619"/>
      <c r="N202" s="607"/>
      <c r="O202" s="607"/>
      <c r="P202" s="607"/>
      <c r="Q202" s="607"/>
      <c r="R202" s="607"/>
      <c r="S202" s="484"/>
      <c r="T202" s="312"/>
      <c r="AE202" s="914" t="s">
        <v>27</v>
      </c>
    </row>
    <row r="203" spans="1:32" x14ac:dyDescent="0.25">
      <c r="B203" s="484"/>
      <c r="C203" s="60"/>
      <c r="D203" s="776">
        <v>1</v>
      </c>
      <c r="E203" s="1146" t="str">
        <f>E143</f>
        <v>Jet kerosene (Jet A1 or Jet A)</v>
      </c>
      <c r="F203" s="1146"/>
      <c r="G203" s="796">
        <f t="shared" ref="G203:G214" si="44">G143</f>
        <v>3.16</v>
      </c>
      <c r="H203" s="797"/>
      <c r="I203" s="798" t="str">
        <f>IF(AND(ISNUMBER(G203),ISNUMBER(H203)),G203*H203,"")</f>
        <v/>
      </c>
      <c r="J203" s="799" t="str">
        <f>IF(AND(ISNUMBER(#REF!),ISNUMBER(H203)),#REF!*H203*SUM(#REF!)/100,"")</f>
        <v/>
      </c>
      <c r="K203" s="799" t="str">
        <f>IF(AND(ISNUMBER(#REF!),ISNUMBER(H203)),#REF!*H203*SUM(#REF!)/100,"")</f>
        <v/>
      </c>
      <c r="L203" s="619"/>
      <c r="M203" s="619"/>
      <c r="N203" s="607"/>
      <c r="O203" s="607"/>
      <c r="P203" s="607"/>
      <c r="Q203" s="607"/>
      <c r="R203" s="607"/>
      <c r="S203" s="484"/>
      <c r="T203" s="312"/>
      <c r="AE203" s="914" t="s">
        <v>27</v>
      </c>
    </row>
    <row r="204" spans="1:32" ht="13.35" customHeight="1" x14ac:dyDescent="0.25">
      <c r="B204" s="484"/>
      <c r="C204" s="60"/>
      <c r="D204" s="776">
        <f>D203+1</f>
        <v>2</v>
      </c>
      <c r="E204" s="1146" t="str">
        <f>E144</f>
        <v>Jet gasoline (Jet B)</v>
      </c>
      <c r="F204" s="1146"/>
      <c r="G204" s="796">
        <f t="shared" si="44"/>
        <v>3.1</v>
      </c>
      <c r="H204" s="797"/>
      <c r="I204" s="798" t="str">
        <f t="shared" ref="I204:I214" si="45">IF(AND(ISNUMBER(G204),ISNUMBER(H204)),G204*H204,"")</f>
        <v/>
      </c>
      <c r="J204" s="799" t="str">
        <f>IF(AND(ISNUMBER(#REF!),ISNUMBER(H204)),#REF!*H204*SUM(#REF!)/100,"")</f>
        <v/>
      </c>
      <c r="K204" s="799" t="str">
        <f>IF(AND(ISNUMBER(#REF!),ISNUMBER(H204)),#REF!*H204*SUM(#REF!)/100,"")</f>
        <v/>
      </c>
      <c r="L204" s="619"/>
      <c r="M204" s="619"/>
      <c r="N204" s="607"/>
      <c r="O204" s="607"/>
      <c r="P204" s="607"/>
      <c r="Q204" s="607"/>
      <c r="R204" s="607"/>
      <c r="S204" s="484"/>
      <c r="T204" s="312"/>
      <c r="AE204" s="914" t="s">
        <v>27</v>
      </c>
    </row>
    <row r="205" spans="1:32" ht="12.75" customHeight="1" x14ac:dyDescent="0.25">
      <c r="B205" s="484"/>
      <c r="C205" s="60"/>
      <c r="D205" s="776">
        <f t="shared" ref="D205:D214" si="46">D204+1</f>
        <v>3</v>
      </c>
      <c r="E205" s="1146" t="str">
        <f>E145</f>
        <v>Aviation gasoline (AvGas)</v>
      </c>
      <c r="F205" s="1146"/>
      <c r="G205" s="796">
        <f t="shared" si="44"/>
        <v>3.1</v>
      </c>
      <c r="H205" s="797"/>
      <c r="I205" s="798" t="str">
        <f t="shared" si="45"/>
        <v/>
      </c>
      <c r="J205" s="799" t="str">
        <f>IF(AND(ISNUMBER(#REF!),ISNUMBER(H205)),#REF!*H205*SUM(#REF!)/100,"")</f>
        <v/>
      </c>
      <c r="K205" s="799" t="str">
        <f>IF(AND(ISNUMBER(#REF!),ISNUMBER(H205)),#REF!*H205*SUM(#REF!)/100,"")</f>
        <v/>
      </c>
      <c r="L205" s="619"/>
      <c r="M205" s="619"/>
      <c r="N205" s="607"/>
      <c r="O205" s="607"/>
      <c r="P205" s="607"/>
      <c r="Q205" s="607"/>
      <c r="R205" s="607"/>
      <c r="S205" s="484"/>
      <c r="T205" s="312"/>
      <c r="AE205" s="914" t="s">
        <v>27</v>
      </c>
    </row>
    <row r="206" spans="1:32" ht="13.35" customHeight="1" x14ac:dyDescent="0.25">
      <c r="B206" s="484"/>
      <c r="C206" s="60"/>
      <c r="D206" s="776">
        <f t="shared" si="46"/>
        <v>4</v>
      </c>
      <c r="E206" s="1113" t="str">
        <f>E86</f>
        <v>HEFA</v>
      </c>
      <c r="F206" s="1113"/>
      <c r="G206" s="796">
        <f t="shared" si="44"/>
        <v>3.16</v>
      </c>
      <c r="H206" s="797"/>
      <c r="I206" s="798" t="str">
        <f t="shared" si="45"/>
        <v/>
      </c>
      <c r="J206" s="799" t="str">
        <f>IF(AND(ISNUMBER(#REF!),ISNUMBER(H206)),#REF!*H206*SUM(#REF!)/100,"")</f>
        <v/>
      </c>
      <c r="K206" s="799" t="str">
        <f>IF(AND(ISNUMBER(#REF!),ISNUMBER(H206)),#REF!*H206*SUM(#REF!)/100,"")</f>
        <v/>
      </c>
      <c r="L206" s="619"/>
      <c r="M206" s="619"/>
      <c r="N206" s="607"/>
      <c r="O206" s="607"/>
      <c r="P206" s="607"/>
      <c r="Q206" s="607"/>
      <c r="R206" s="607"/>
      <c r="S206" s="484"/>
      <c r="T206" s="312"/>
      <c r="AE206" s="914" t="s">
        <v>27</v>
      </c>
    </row>
    <row r="207" spans="1:32" x14ac:dyDescent="0.25">
      <c r="B207" s="484"/>
      <c r="C207" s="60"/>
      <c r="D207" s="776">
        <f t="shared" si="46"/>
        <v>5</v>
      </c>
      <c r="E207" s="1113" t="str">
        <f t="shared" ref="E207:E214" si="47">E147</f>
        <v>5. RFNBO EDDF</v>
      </c>
      <c r="F207" s="1113"/>
      <c r="G207" s="796">
        <f t="shared" si="44"/>
        <v>3.16</v>
      </c>
      <c r="H207" s="797"/>
      <c r="I207" s="798" t="str">
        <f t="shared" si="45"/>
        <v/>
      </c>
      <c r="J207" s="799" t="str">
        <f>IF(AND(ISNUMBER(#REF!),ISNUMBER(H207)),#REF!*H207*SUM(#REF!)/100,"")</f>
        <v/>
      </c>
      <c r="K207" s="799" t="str">
        <f>IF(AND(ISNUMBER(#REF!),ISNUMBER(H207)),#REF!*H207*SUM(#REF!)/100,"")</f>
        <v/>
      </c>
      <c r="L207" s="619"/>
      <c r="M207" s="619"/>
      <c r="N207" s="607"/>
      <c r="O207" s="607"/>
      <c r="P207" s="607"/>
      <c r="Q207" s="607"/>
      <c r="R207" s="607"/>
      <c r="S207" s="484"/>
      <c r="T207" s="312"/>
      <c r="AE207" s="914" t="s">
        <v>27</v>
      </c>
    </row>
    <row r="208" spans="1:32" x14ac:dyDescent="0.25">
      <c r="B208" s="484"/>
      <c r="C208" s="60"/>
      <c r="D208" s="776">
        <f t="shared" si="46"/>
        <v>6</v>
      </c>
      <c r="E208" s="1113" t="str">
        <f t="shared" si="47"/>
        <v>6. ATJ</v>
      </c>
      <c r="F208" s="1113"/>
      <c r="G208" s="796">
        <f t="shared" si="44"/>
        <v>3.16</v>
      </c>
      <c r="H208" s="797"/>
      <c r="I208" s="798" t="str">
        <f t="shared" si="45"/>
        <v/>
      </c>
      <c r="J208" s="799" t="str">
        <f>IF(AND(ISNUMBER(#REF!),ISNUMBER(H208)),#REF!*H208*SUM(#REF!)/100,"")</f>
        <v/>
      </c>
      <c r="K208" s="799" t="str">
        <f>IF(AND(ISNUMBER(#REF!),ISNUMBER(H208)),#REF!*H208*SUM(#REF!)/100,"")</f>
        <v/>
      </c>
      <c r="L208" s="619"/>
      <c r="M208" s="619"/>
      <c r="N208" s="607"/>
      <c r="O208" s="607"/>
      <c r="P208" s="607"/>
      <c r="Q208" s="607"/>
      <c r="R208" s="607"/>
      <c r="S208" s="484"/>
      <c r="T208" s="312"/>
      <c r="AE208" s="914" t="s">
        <v>27</v>
      </c>
    </row>
    <row r="209" spans="1:32" x14ac:dyDescent="0.25">
      <c r="B209" s="484"/>
      <c r="C209" s="60"/>
      <c r="D209" s="776">
        <f t="shared" si="46"/>
        <v>7</v>
      </c>
      <c r="E209" s="1113" t="str">
        <f t="shared" si="47"/>
        <v/>
      </c>
      <c r="F209" s="1113"/>
      <c r="G209" s="796" t="str">
        <f t="shared" si="44"/>
        <v/>
      </c>
      <c r="H209" s="797"/>
      <c r="I209" s="798" t="str">
        <f t="shared" si="45"/>
        <v/>
      </c>
      <c r="J209" s="799" t="str">
        <f>IF(AND(ISNUMBER(#REF!),ISNUMBER(H209)),#REF!*H209*SUM(#REF!)/100,"")</f>
        <v/>
      </c>
      <c r="K209" s="799" t="str">
        <f>IF(AND(ISNUMBER(#REF!),ISNUMBER(H209)),#REF!*H209*SUM(#REF!)/100,"")</f>
        <v/>
      </c>
      <c r="L209" s="619"/>
      <c r="M209" s="619"/>
      <c r="N209" s="607"/>
      <c r="O209" s="607"/>
      <c r="P209" s="607"/>
      <c r="Q209" s="607"/>
      <c r="R209" s="607"/>
      <c r="S209" s="484"/>
      <c r="T209" s="312"/>
      <c r="AE209" s="914" t="s">
        <v>27</v>
      </c>
    </row>
    <row r="210" spans="1:32" x14ac:dyDescent="0.25">
      <c r="B210" s="484"/>
      <c r="C210" s="60"/>
      <c r="D210" s="776">
        <f t="shared" si="46"/>
        <v>8</v>
      </c>
      <c r="E210" s="1113" t="str">
        <f t="shared" si="47"/>
        <v/>
      </c>
      <c r="F210" s="1113"/>
      <c r="G210" s="796" t="str">
        <f t="shared" si="44"/>
        <v/>
      </c>
      <c r="H210" s="797"/>
      <c r="I210" s="798" t="str">
        <f t="shared" si="45"/>
        <v/>
      </c>
      <c r="J210" s="799" t="str">
        <f>IF(AND(ISNUMBER(#REF!),ISNUMBER(H210)),#REF!*H210*SUM(#REF!)/100,"")</f>
        <v/>
      </c>
      <c r="K210" s="799" t="str">
        <f>IF(AND(ISNUMBER(#REF!),ISNUMBER(H210)),#REF!*H210*SUM(#REF!)/100,"")</f>
        <v/>
      </c>
      <c r="L210" s="619"/>
      <c r="M210" s="619"/>
      <c r="N210" s="607"/>
      <c r="O210" s="607"/>
      <c r="P210" s="607"/>
      <c r="Q210" s="607"/>
      <c r="R210" s="607"/>
      <c r="S210" s="484"/>
      <c r="T210" s="312"/>
      <c r="AE210" s="914" t="s">
        <v>27</v>
      </c>
    </row>
    <row r="211" spans="1:32" x14ac:dyDescent="0.25">
      <c r="B211" s="484"/>
      <c r="C211" s="60"/>
      <c r="D211" s="776">
        <f t="shared" si="46"/>
        <v>9</v>
      </c>
      <c r="E211" s="1113" t="str">
        <f t="shared" si="47"/>
        <v/>
      </c>
      <c r="F211" s="1113"/>
      <c r="G211" s="796" t="str">
        <f t="shared" si="44"/>
        <v/>
      </c>
      <c r="H211" s="797"/>
      <c r="I211" s="798" t="str">
        <f t="shared" si="45"/>
        <v/>
      </c>
      <c r="J211" s="799" t="str">
        <f>IF(AND(ISNUMBER(#REF!),ISNUMBER(H211)),#REF!*H211*SUM(#REF!)/100,"")</f>
        <v/>
      </c>
      <c r="K211" s="799" t="str">
        <f>IF(AND(ISNUMBER(#REF!),ISNUMBER(H211)),#REF!*H211*SUM(#REF!)/100,"")</f>
        <v/>
      </c>
      <c r="L211" s="619"/>
      <c r="M211" s="619"/>
      <c r="N211" s="607"/>
      <c r="O211" s="607"/>
      <c r="P211" s="607"/>
      <c r="Q211" s="607"/>
      <c r="R211" s="607"/>
      <c r="S211" s="484"/>
      <c r="T211" s="312"/>
      <c r="AE211" s="914" t="s">
        <v>27</v>
      </c>
    </row>
    <row r="212" spans="1:32" x14ac:dyDescent="0.25">
      <c r="B212" s="484"/>
      <c r="C212" s="60"/>
      <c r="D212" s="776">
        <f t="shared" si="46"/>
        <v>10</v>
      </c>
      <c r="E212" s="1113" t="str">
        <f t="shared" si="47"/>
        <v/>
      </c>
      <c r="F212" s="1113"/>
      <c r="G212" s="796" t="str">
        <f t="shared" si="44"/>
        <v/>
      </c>
      <c r="H212" s="797"/>
      <c r="I212" s="798" t="str">
        <f t="shared" si="45"/>
        <v/>
      </c>
      <c r="J212" s="799" t="str">
        <f>IF(AND(ISNUMBER(#REF!),ISNUMBER(H212)),#REF!*H212*SUM(#REF!)/100,"")</f>
        <v/>
      </c>
      <c r="K212" s="799" t="str">
        <f>IF(AND(ISNUMBER(#REF!),ISNUMBER(H212)),#REF!*H212*SUM(#REF!)/100,"")</f>
        <v/>
      </c>
      <c r="L212" s="619"/>
      <c r="M212" s="619"/>
      <c r="N212" s="607"/>
      <c r="O212" s="607"/>
      <c r="P212" s="607"/>
      <c r="Q212" s="607"/>
      <c r="R212" s="607"/>
      <c r="S212" s="484"/>
      <c r="T212" s="312"/>
      <c r="AE212" s="914" t="s">
        <v>27</v>
      </c>
    </row>
    <row r="213" spans="1:32" x14ac:dyDescent="0.25">
      <c r="B213" s="484"/>
      <c r="C213" s="60"/>
      <c r="D213" s="776">
        <f t="shared" si="46"/>
        <v>11</v>
      </c>
      <c r="E213" s="1113" t="str">
        <f t="shared" si="47"/>
        <v/>
      </c>
      <c r="F213" s="1113"/>
      <c r="G213" s="796" t="str">
        <f t="shared" si="44"/>
        <v/>
      </c>
      <c r="H213" s="797"/>
      <c r="I213" s="798" t="str">
        <f t="shared" si="45"/>
        <v/>
      </c>
      <c r="J213" s="799" t="str">
        <f>IF(AND(ISNUMBER(#REF!),ISNUMBER(H213)),#REF!*H213*SUM(#REF!)/100,"")</f>
        <v/>
      </c>
      <c r="K213" s="799" t="str">
        <f>IF(AND(ISNUMBER(#REF!),ISNUMBER(H213)),#REF!*H213*SUM(#REF!)/100,"")</f>
        <v/>
      </c>
      <c r="L213" s="619"/>
      <c r="M213" s="619"/>
      <c r="N213" s="607"/>
      <c r="O213" s="607"/>
      <c r="P213" s="607"/>
      <c r="Q213" s="607"/>
      <c r="R213" s="607"/>
      <c r="S213" s="484"/>
      <c r="T213" s="312"/>
      <c r="AE213" s="914" t="s">
        <v>27</v>
      </c>
    </row>
    <row r="214" spans="1:32" x14ac:dyDescent="0.25">
      <c r="B214" s="484"/>
      <c r="C214" s="60"/>
      <c r="D214" s="776">
        <f t="shared" si="46"/>
        <v>12</v>
      </c>
      <c r="E214" s="1113" t="str">
        <f t="shared" si="47"/>
        <v/>
      </c>
      <c r="F214" s="1113"/>
      <c r="G214" s="796" t="str">
        <f t="shared" si="44"/>
        <v/>
      </c>
      <c r="H214" s="797"/>
      <c r="I214" s="798" t="str">
        <f t="shared" si="45"/>
        <v/>
      </c>
      <c r="J214" s="799" t="str">
        <f>IF(AND(ISNUMBER(#REF!),ISNUMBER(H214)),#REF!*H214*SUM(#REF!)/100,"")</f>
        <v/>
      </c>
      <c r="K214" s="799" t="str">
        <f>IF(AND(ISNUMBER(#REF!),ISNUMBER(H214)),#REF!*H214*SUM(#REF!)/100,"")</f>
        <v/>
      </c>
      <c r="L214" s="619"/>
      <c r="M214" s="619"/>
      <c r="N214" s="607"/>
      <c r="O214" s="607"/>
      <c r="P214" s="607"/>
      <c r="Q214" s="607"/>
      <c r="R214" s="607"/>
      <c r="S214" s="484"/>
      <c r="T214" s="312"/>
      <c r="AE214" s="914" t="s">
        <v>27</v>
      </c>
    </row>
    <row r="215" spans="1:32" hidden="1" x14ac:dyDescent="0.25">
      <c r="A215" s="124" t="s">
        <v>38</v>
      </c>
      <c r="B215" s="484"/>
      <c r="C215" s="60"/>
      <c r="D215" s="776" t="s">
        <v>82</v>
      </c>
      <c r="E215" s="1114" t="str">
        <f>E161</f>
        <v>end</v>
      </c>
      <c r="F215" s="1114"/>
      <c r="G215" s="800" t="str">
        <f>G161</f>
        <v>end</v>
      </c>
      <c r="H215" s="801" t="s">
        <v>82</v>
      </c>
      <c r="I215" s="802" t="s">
        <v>82</v>
      </c>
      <c r="J215" s="803" t="s">
        <v>82</v>
      </c>
      <c r="K215" s="803" t="s">
        <v>82</v>
      </c>
      <c r="L215" s="619"/>
      <c r="M215" s="619"/>
      <c r="N215" s="607"/>
      <c r="O215" s="607"/>
      <c r="P215" s="607"/>
      <c r="Q215" s="607"/>
      <c r="R215" s="607"/>
      <c r="S215" s="484"/>
      <c r="T215" s="312"/>
      <c r="AE215" s="914" t="s">
        <v>27</v>
      </c>
    </row>
    <row r="216" spans="1:32" s="53" customFormat="1" ht="25.5" customHeight="1" x14ac:dyDescent="0.25">
      <c r="A216" s="129"/>
      <c r="B216" s="486"/>
      <c r="D216" s="1115" t="str">
        <f>Translations!$B$936</f>
        <v>If required, you may add further fuels by inserting rows above this one. This is best done by inserting a copied row. However, formulae will need corrections!</v>
      </c>
      <c r="E216" s="1115"/>
      <c r="F216" s="1115"/>
      <c r="G216" s="1115"/>
      <c r="H216" s="1115"/>
      <c r="I216" s="1115"/>
      <c r="J216" s="1115"/>
      <c r="K216" s="1115"/>
      <c r="L216" s="772"/>
      <c r="M216" s="772"/>
      <c r="N216" s="613"/>
      <c r="O216" s="613"/>
      <c r="P216" s="613"/>
      <c r="Q216" s="613"/>
      <c r="R216" s="924"/>
      <c r="S216" s="488"/>
      <c r="T216" s="312"/>
      <c r="U216" s="130"/>
      <c r="V216" s="129"/>
      <c r="W216" s="129"/>
      <c r="X216" s="129"/>
      <c r="Y216" s="129"/>
      <c r="Z216" s="129"/>
      <c r="AA216" s="129"/>
      <c r="AB216" s="129"/>
      <c r="AC216" s="129"/>
      <c r="AD216" s="129"/>
      <c r="AE216" s="914" t="s">
        <v>27</v>
      </c>
      <c r="AF216" s="312"/>
    </row>
    <row r="217" spans="1:32" s="53" customFormat="1" ht="5.0999999999999996" customHeight="1" thickBot="1" x14ac:dyDescent="0.3">
      <c r="A217" s="129"/>
      <c r="B217" s="486"/>
      <c r="D217" s="131"/>
      <c r="E217" s="131"/>
      <c r="F217" s="131"/>
      <c r="G217" s="131"/>
      <c r="H217" s="131"/>
      <c r="I217" s="131"/>
      <c r="J217" s="131"/>
      <c r="K217" s="131"/>
      <c r="L217" s="131"/>
      <c r="M217" s="131"/>
      <c r="R217" s="920"/>
      <c r="S217" s="488"/>
      <c r="U217" s="130"/>
      <c r="V217" s="129"/>
      <c r="W217" s="129"/>
      <c r="X217" s="129"/>
      <c r="Y217" s="129"/>
      <c r="Z217" s="129"/>
      <c r="AA217" s="129"/>
      <c r="AB217" s="129"/>
      <c r="AC217" s="129"/>
      <c r="AD217" s="129"/>
      <c r="AE217" s="915"/>
      <c r="AF217" s="312"/>
    </row>
    <row r="218" spans="1:32" s="118" customFormat="1" ht="12.75" customHeight="1" thickBot="1" x14ac:dyDescent="0.3">
      <c r="A218" s="135"/>
      <c r="B218" s="487"/>
      <c r="D218" s="1120" t="str">
        <f>Translations!$B$1272</f>
        <v>Total CO2 emissions (CH ETS) in the reporting year:</v>
      </c>
      <c r="E218" s="999"/>
      <c r="F218" s="999"/>
      <c r="G218" s="999"/>
      <c r="H218" s="999"/>
      <c r="I218" s="1121"/>
      <c r="J218" s="136">
        <f>ROUND(SUM(J182:J199),0)</f>
        <v>0</v>
      </c>
      <c r="K218" s="159"/>
      <c r="S218" s="487"/>
      <c r="U218" s="135"/>
      <c r="V218" s="135"/>
      <c r="W218" s="135"/>
      <c r="X218" s="135"/>
      <c r="Y218" s="135"/>
      <c r="Z218" s="135"/>
      <c r="AA218" s="135"/>
      <c r="AB218" s="135"/>
      <c r="AC218" s="135"/>
      <c r="AD218" s="135"/>
      <c r="AE218" s="916"/>
      <c r="AF218" s="491"/>
    </row>
    <row r="219" spans="1:32" s="53" customFormat="1" ht="63.75" customHeight="1" x14ac:dyDescent="0.25">
      <c r="A219" s="129"/>
      <c r="B219" s="486"/>
      <c r="D219" s="1116" t="str">
        <f>Translations!$B$1273</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v>
      </c>
      <c r="E219" s="1117"/>
      <c r="F219" s="1117"/>
      <c r="G219" s="1117"/>
      <c r="H219" s="1117"/>
      <c r="I219" s="1117"/>
      <c r="J219" s="1117"/>
      <c r="K219" s="1118"/>
      <c r="L219" s="578"/>
      <c r="M219" s="578"/>
      <c r="R219" s="920"/>
      <c r="S219" s="488"/>
      <c r="U219" s="130"/>
      <c r="V219" s="129"/>
      <c r="W219" s="129"/>
      <c r="X219" s="129"/>
      <c r="Y219" s="129"/>
      <c r="Z219" s="129"/>
      <c r="AA219" s="129"/>
      <c r="AB219" s="129"/>
      <c r="AC219" s="129"/>
      <c r="AD219" s="129"/>
      <c r="AE219" s="915"/>
      <c r="AF219" s="312"/>
    </row>
    <row r="220" spans="1:32" s="53" customFormat="1" ht="5.0999999999999996" customHeight="1" x14ac:dyDescent="0.25">
      <c r="A220" s="129"/>
      <c r="B220" s="486"/>
      <c r="D220" s="131"/>
      <c r="E220" s="131"/>
      <c r="F220" s="131"/>
      <c r="G220" s="131"/>
      <c r="H220" s="131"/>
      <c r="I220" s="131"/>
      <c r="J220" s="131"/>
      <c r="K220" s="131"/>
      <c r="L220" s="131"/>
      <c r="M220" s="131"/>
      <c r="R220" s="920"/>
      <c r="S220" s="488"/>
      <c r="U220" s="130"/>
      <c r="V220" s="129"/>
      <c r="W220" s="129"/>
      <c r="X220" s="129"/>
      <c r="Y220" s="129"/>
      <c r="Z220" s="129"/>
      <c r="AA220" s="129"/>
      <c r="AB220" s="129"/>
      <c r="AC220" s="129"/>
      <c r="AD220" s="129"/>
      <c r="AE220" s="915"/>
      <c r="AF220" s="312"/>
    </row>
    <row r="221" spans="1:32" s="118" customFormat="1" ht="12.75" customHeight="1" x14ac:dyDescent="0.25">
      <c r="A221" s="135"/>
      <c r="B221" s="487"/>
      <c r="D221" s="1109" t="s">
        <v>169</v>
      </c>
      <c r="E221" s="1110"/>
      <c r="F221" s="1110"/>
      <c r="G221" s="1110"/>
      <c r="H221" s="1110"/>
      <c r="I221" s="1110"/>
      <c r="J221" s="1111"/>
      <c r="K221" s="137">
        <f>ROUND(SUM(K182:K199),0)</f>
        <v>0</v>
      </c>
      <c r="L221" s="793"/>
      <c r="M221" s="793"/>
      <c r="N221" s="793"/>
      <c r="O221" s="793"/>
      <c r="P221" s="793"/>
      <c r="Q221" s="159"/>
      <c r="R221" s="936"/>
      <c r="S221" s="487"/>
      <c r="T221" s="491"/>
      <c r="U221" s="135" t="s">
        <v>185</v>
      </c>
      <c r="V221" s="135"/>
      <c r="W221" s="135"/>
      <c r="X221" s="135"/>
      <c r="Y221" s="135"/>
      <c r="Z221" s="135"/>
      <c r="AA221" s="135"/>
      <c r="AB221" s="135"/>
      <c r="AC221" s="135"/>
      <c r="AD221" s="135"/>
      <c r="AE221" s="916" t="s">
        <v>11</v>
      </c>
      <c r="AF221" s="491"/>
    </row>
    <row r="222" spans="1:32" s="118" customFormat="1" ht="12.75" customHeight="1" x14ac:dyDescent="0.25">
      <c r="A222" s="135"/>
      <c r="B222" s="487"/>
      <c r="D222" s="1187" t="s">
        <v>171</v>
      </c>
      <c r="E222" s="1188"/>
      <c r="F222" s="1188"/>
      <c r="G222" s="1188"/>
      <c r="H222" s="1188"/>
      <c r="I222" s="117"/>
      <c r="J222" s="116"/>
      <c r="K222" s="137">
        <f>ROUND(SUM(J182:K199),0)</f>
        <v>0</v>
      </c>
      <c r="L222" s="793"/>
      <c r="M222" s="793"/>
      <c r="N222" s="793"/>
      <c r="O222" s="793"/>
      <c r="P222" s="793"/>
      <c r="Q222" s="159"/>
      <c r="R222" s="936"/>
      <c r="S222" s="487"/>
      <c r="T222" s="491"/>
      <c r="U222" s="135" t="s">
        <v>186</v>
      </c>
      <c r="V222" s="135"/>
      <c r="W222" s="135"/>
      <c r="X222" s="135"/>
      <c r="Y222" s="135"/>
      <c r="Z222" s="135"/>
      <c r="AA222" s="135"/>
      <c r="AB222" s="135"/>
      <c r="AC222" s="135"/>
      <c r="AD222" s="135"/>
      <c r="AE222" s="916" t="s">
        <v>11</v>
      </c>
      <c r="AF222" s="491"/>
    </row>
    <row r="223" spans="1:32" s="118" customFormat="1" ht="12.75" customHeight="1" x14ac:dyDescent="0.25">
      <c r="A223" s="135"/>
      <c r="B223" s="487"/>
      <c r="D223" s="787" t="s">
        <v>173</v>
      </c>
      <c r="E223" s="788"/>
      <c r="F223" s="789"/>
      <c r="G223" s="789"/>
      <c r="H223" s="789"/>
      <c r="I223" s="789"/>
      <c r="J223" s="789"/>
      <c r="K223" s="789"/>
      <c r="L223" s="137" t="str">
        <f>IF(SUM(L$182:L$199)=0,"",SUM(L$182:L$199))</f>
        <v/>
      </c>
      <c r="M223" s="793"/>
      <c r="N223" s="793"/>
      <c r="O223" s="793"/>
      <c r="P223" s="793"/>
      <c r="Q223" s="159"/>
      <c r="R223" s="936"/>
      <c r="S223" s="487"/>
      <c r="T223" s="491"/>
      <c r="U223" s="135" t="s">
        <v>187</v>
      </c>
      <c r="V223" s="135"/>
      <c r="W223" s="135"/>
      <c r="X223" s="135"/>
      <c r="Y223" s="135"/>
      <c r="Z223" s="135"/>
      <c r="AA223" s="135"/>
      <c r="AB223" s="135"/>
      <c r="AC223" s="135"/>
      <c r="AD223" s="135"/>
      <c r="AE223" s="916" t="s">
        <v>11</v>
      </c>
      <c r="AF223" s="491"/>
    </row>
    <row r="224" spans="1:32" s="118" customFormat="1" ht="12.75" customHeight="1" x14ac:dyDescent="0.25">
      <c r="A224" s="135"/>
      <c r="B224" s="487"/>
      <c r="D224" s="790" t="s">
        <v>175</v>
      </c>
      <c r="E224" s="791"/>
      <c r="F224" s="792"/>
      <c r="G224" s="792"/>
      <c r="H224" s="792"/>
      <c r="I224" s="792"/>
      <c r="J224" s="792"/>
      <c r="K224" s="792"/>
      <c r="L224" s="792"/>
      <c r="M224" s="137" t="str">
        <f t="shared" ref="M224:Q228" si="48">IF(SUM(M$182:M$199)=0,"",SUM(M$182:M$199))</f>
        <v/>
      </c>
      <c r="N224" s="792"/>
      <c r="O224" s="792"/>
      <c r="P224" s="792"/>
      <c r="Q224" s="153"/>
      <c r="R224" s="937"/>
      <c r="S224" s="487"/>
      <c r="T224" s="491"/>
      <c r="U224" s="135" t="s">
        <v>188</v>
      </c>
      <c r="V224" s="135"/>
      <c r="W224" s="135"/>
      <c r="X224" s="135"/>
      <c r="Y224" s="135"/>
      <c r="Z224" s="135"/>
      <c r="AA224" s="135"/>
      <c r="AB224" s="135"/>
      <c r="AC224" s="135"/>
      <c r="AD224" s="135"/>
      <c r="AE224" s="916" t="s">
        <v>11</v>
      </c>
      <c r="AF224" s="491"/>
    </row>
    <row r="225" spans="1:32" s="118" customFormat="1" ht="12.75" customHeight="1" x14ac:dyDescent="0.25">
      <c r="A225" s="135"/>
      <c r="B225" s="487"/>
      <c r="D225" s="790" t="s">
        <v>177</v>
      </c>
      <c r="E225" s="791"/>
      <c r="F225" s="792"/>
      <c r="G225" s="792"/>
      <c r="H225" s="792"/>
      <c r="I225" s="792"/>
      <c r="J225" s="792"/>
      <c r="K225" s="792"/>
      <c r="L225" s="792"/>
      <c r="M225" s="792"/>
      <c r="N225" s="137" t="str">
        <f t="shared" si="48"/>
        <v/>
      </c>
      <c r="O225" s="792"/>
      <c r="P225" s="792"/>
      <c r="Q225" s="153"/>
      <c r="R225" s="937"/>
      <c r="S225" s="487"/>
      <c r="T225" s="491"/>
      <c r="U225" s="135" t="s">
        <v>189</v>
      </c>
      <c r="V225" s="135"/>
      <c r="W225" s="135"/>
      <c r="X225" s="135"/>
      <c r="Y225" s="135"/>
      <c r="Z225" s="135"/>
      <c r="AA225" s="135"/>
      <c r="AB225" s="135"/>
      <c r="AC225" s="135"/>
      <c r="AD225" s="135"/>
      <c r="AE225" s="916" t="s">
        <v>11</v>
      </c>
      <c r="AF225" s="491"/>
    </row>
    <row r="226" spans="1:32" s="118" customFormat="1" ht="12.75" customHeight="1" x14ac:dyDescent="0.25">
      <c r="A226" s="135"/>
      <c r="B226" s="487"/>
      <c r="D226" s="790" t="s">
        <v>179</v>
      </c>
      <c r="E226" s="791"/>
      <c r="F226" s="792"/>
      <c r="G226" s="792"/>
      <c r="H226" s="792"/>
      <c r="I226" s="792"/>
      <c r="J226" s="792"/>
      <c r="K226" s="792"/>
      <c r="L226" s="792"/>
      <c r="M226" s="792"/>
      <c r="N226" s="792"/>
      <c r="O226" s="137" t="str">
        <f t="shared" si="48"/>
        <v/>
      </c>
      <c r="P226" s="792"/>
      <c r="Q226" s="153"/>
      <c r="R226" s="937"/>
      <c r="S226" s="487"/>
      <c r="T226" s="491"/>
      <c r="U226" s="135" t="s">
        <v>190</v>
      </c>
      <c r="V226" s="135"/>
      <c r="W226" s="135"/>
      <c r="X226" s="135"/>
      <c r="Y226" s="135"/>
      <c r="Z226" s="135"/>
      <c r="AA226" s="135"/>
      <c r="AB226" s="135"/>
      <c r="AC226" s="135"/>
      <c r="AD226" s="135"/>
      <c r="AE226" s="916" t="s">
        <v>11</v>
      </c>
      <c r="AF226" s="491"/>
    </row>
    <row r="227" spans="1:32" s="118" customFormat="1" ht="12.75" customHeight="1" x14ac:dyDescent="0.25">
      <c r="A227" s="135"/>
      <c r="B227" s="487"/>
      <c r="D227" s="790" t="s">
        <v>181</v>
      </c>
      <c r="E227" s="791"/>
      <c r="F227" s="792"/>
      <c r="G227" s="792"/>
      <c r="H227" s="792"/>
      <c r="I227" s="792"/>
      <c r="J227" s="792"/>
      <c r="K227" s="792"/>
      <c r="L227" s="792"/>
      <c r="M227" s="792"/>
      <c r="N227" s="792"/>
      <c r="O227" s="792"/>
      <c r="P227" s="137" t="str">
        <f t="shared" si="48"/>
        <v/>
      </c>
      <c r="Q227" s="153"/>
      <c r="R227" s="937"/>
      <c r="S227" s="487"/>
      <c r="T227" s="491"/>
      <c r="U227" s="135" t="s">
        <v>191</v>
      </c>
      <c r="V227" s="135"/>
      <c r="W227" s="135"/>
      <c r="X227" s="135"/>
      <c r="Y227" s="135"/>
      <c r="Z227" s="135"/>
      <c r="AA227" s="135"/>
      <c r="AB227" s="135"/>
      <c r="AC227" s="135"/>
      <c r="AD227" s="135"/>
      <c r="AE227" s="916" t="s">
        <v>11</v>
      </c>
      <c r="AF227" s="491"/>
    </row>
    <row r="228" spans="1:32" s="118" customFormat="1" ht="12.75" customHeight="1" x14ac:dyDescent="0.25">
      <c r="A228" s="135"/>
      <c r="B228" s="487"/>
      <c r="D228" s="790" t="s">
        <v>183</v>
      </c>
      <c r="E228" s="791"/>
      <c r="F228" s="792"/>
      <c r="G228" s="792"/>
      <c r="H228" s="792"/>
      <c r="I228" s="792"/>
      <c r="J228" s="792"/>
      <c r="K228" s="792"/>
      <c r="L228" s="792"/>
      <c r="M228" s="792"/>
      <c r="N228" s="792"/>
      <c r="O228" s="792"/>
      <c r="P228" s="792"/>
      <c r="Q228" s="137" t="str">
        <f t="shared" si="48"/>
        <v/>
      </c>
      <c r="R228" s="938"/>
      <c r="S228" s="487"/>
      <c r="T228" s="491"/>
      <c r="U228" s="135" t="s">
        <v>192</v>
      </c>
      <c r="V228" s="135"/>
      <c r="W228" s="135"/>
      <c r="X228" s="135"/>
      <c r="Y228" s="135"/>
      <c r="Z228" s="135"/>
      <c r="AA228" s="135"/>
      <c r="AB228" s="135"/>
      <c r="AC228" s="135"/>
      <c r="AD228" s="135"/>
      <c r="AE228" s="916" t="s">
        <v>11</v>
      </c>
      <c r="AF228" s="491"/>
    </row>
    <row r="229" spans="1:32" s="118" customFormat="1" ht="4.95" customHeight="1" x14ac:dyDescent="0.25">
      <c r="A229" s="135"/>
      <c r="B229" s="487"/>
      <c r="D229" s="794"/>
      <c r="E229" s="1"/>
      <c r="F229" s="1"/>
      <c r="G229" s="1"/>
      <c r="H229" s="1"/>
      <c r="I229" s="59"/>
      <c r="J229" s="59"/>
      <c r="K229" s="59"/>
      <c r="L229" s="59"/>
      <c r="M229" s="59"/>
      <c r="N229" s="59"/>
      <c r="O229" s="59"/>
      <c r="S229" s="487"/>
      <c r="U229" s="135"/>
      <c r="V229" s="135"/>
      <c r="W229" s="135"/>
      <c r="X229" s="135"/>
      <c r="Y229" s="135"/>
      <c r="Z229" s="135"/>
      <c r="AA229" s="135"/>
      <c r="AB229" s="135"/>
      <c r="AC229" s="135"/>
      <c r="AD229" s="135"/>
      <c r="AE229" s="916"/>
      <c r="AF229" s="491"/>
    </row>
    <row r="230" spans="1:32" x14ac:dyDescent="0.25">
      <c r="B230" s="484"/>
      <c r="C230" s="484"/>
      <c r="D230" s="484"/>
      <c r="E230" s="484"/>
      <c r="F230" s="484"/>
      <c r="G230" s="484"/>
      <c r="H230" s="484"/>
      <c r="I230" s="484"/>
      <c r="J230" s="484"/>
      <c r="K230" s="484"/>
      <c r="L230" s="484"/>
      <c r="M230" s="484"/>
      <c r="N230" s="484"/>
      <c r="O230" s="484"/>
      <c r="P230" s="484"/>
      <c r="Q230" s="484"/>
      <c r="R230" s="484"/>
      <c r="S230" s="484"/>
    </row>
    <row r="232" spans="1:32" ht="15" customHeight="1" x14ac:dyDescent="0.25">
      <c r="C232" s="103">
        <v>6</v>
      </c>
      <c r="D232" s="1081" t="str">
        <f>Translations!$B$845</f>
        <v>Use of simplified procedures</v>
      </c>
      <c r="E232" s="960"/>
      <c r="F232" s="960"/>
      <c r="G232" s="960"/>
      <c r="H232" s="960"/>
      <c r="I232" s="960"/>
      <c r="J232" s="960"/>
      <c r="K232" s="960"/>
      <c r="L232" s="960"/>
      <c r="M232" s="960"/>
      <c r="N232" s="960"/>
      <c r="O232" s="960"/>
      <c r="P232" s="960"/>
      <c r="Q232" s="960"/>
      <c r="R232" s="960"/>
    </row>
    <row r="233" spans="1:32" ht="25.5" customHeight="1" x14ac:dyDescent="0.25">
      <c r="C233" s="67"/>
      <c r="D233" s="1157" t="s">
        <v>2082</v>
      </c>
      <c r="E233" s="1157"/>
      <c r="F233" s="1157"/>
      <c r="G233" s="1157"/>
      <c r="H233" s="1157"/>
      <c r="I233" s="1157"/>
      <c r="J233" s="1157"/>
      <c r="K233" s="1157"/>
      <c r="L233" s="1158"/>
      <c r="M233" s="1158"/>
      <c r="N233" s="1158"/>
      <c r="O233" s="1158"/>
      <c r="P233" s="1158"/>
      <c r="Q233" s="1158"/>
      <c r="R233" s="921"/>
      <c r="AF233" s="312" t="s">
        <v>2083</v>
      </c>
    </row>
    <row r="234" spans="1:32" ht="12.75" customHeight="1" x14ac:dyDescent="0.25">
      <c r="B234" s="485"/>
      <c r="C234" s="55" t="s">
        <v>33</v>
      </c>
      <c r="D234" s="1104" t="s">
        <v>193</v>
      </c>
      <c r="E234" s="1104"/>
      <c r="F234" s="1104"/>
      <c r="G234" s="1104"/>
      <c r="H234" s="1104"/>
      <c r="I234" s="1104"/>
      <c r="J234" s="1104"/>
      <c r="K234" s="1104"/>
      <c r="L234" s="960"/>
      <c r="M234" s="960"/>
      <c r="N234" s="960"/>
      <c r="O234" s="960"/>
      <c r="P234" s="960"/>
      <c r="Q234" s="960"/>
      <c r="R234" s="917"/>
      <c r="S234" s="485"/>
      <c r="U234" s="124" t="s">
        <v>49</v>
      </c>
      <c r="W234" s="661"/>
      <c r="X234" s="661"/>
      <c r="Y234" s="661"/>
      <c r="Z234" s="661"/>
      <c r="AA234" s="661"/>
      <c r="AB234" s="661"/>
      <c r="AC234" s="661"/>
      <c r="AD234" s="661"/>
    </row>
    <row r="235" spans="1:32" ht="13.2" customHeight="1" x14ac:dyDescent="0.25">
      <c r="B235" s="485"/>
      <c r="C235" s="60"/>
      <c r="D235" s="1119" t="str">
        <f>Translations!$B$945</f>
        <v>Small emitters are aircraft operators which operate fewer than 243 flights per period for three consecutive four-month periods and aircraft operators with total annual emissions lower than 25,000 t CO2 per year, related to the EU ETS full scope.</v>
      </c>
      <c r="E235" s="1119"/>
      <c r="F235" s="1119"/>
      <c r="G235" s="1119"/>
      <c r="H235" s="1119"/>
      <c r="I235" s="1119"/>
      <c r="J235" s="1119"/>
      <c r="K235" s="1119"/>
      <c r="L235" s="960"/>
      <c r="M235" s="960"/>
      <c r="N235" s="960"/>
      <c r="O235" s="960"/>
      <c r="P235" s="960"/>
      <c r="Q235" s="960"/>
      <c r="R235" s="917"/>
      <c r="S235" s="485"/>
      <c r="W235" s="661"/>
    </row>
    <row r="236" spans="1:32" ht="13.2" customHeight="1" x14ac:dyDescent="0.25">
      <c r="B236" s="485"/>
      <c r="C236" s="60"/>
      <c r="D236" s="1119" t="s">
        <v>2080</v>
      </c>
      <c r="E236" s="960"/>
      <c r="F236" s="960"/>
      <c r="G236" s="960"/>
      <c r="H236" s="960"/>
      <c r="I236" s="960"/>
      <c r="J236" s="960"/>
      <c r="K236" s="960"/>
      <c r="L236" s="960"/>
      <c r="M236" s="960"/>
      <c r="N236" s="960"/>
      <c r="O236" s="960"/>
      <c r="P236" s="960"/>
      <c r="Q236" s="960"/>
      <c r="R236" s="917"/>
      <c r="S236" s="485"/>
      <c r="AF236" s="312" t="s">
        <v>2081</v>
      </c>
    </row>
    <row r="237" spans="1:32" ht="13.2" customHeight="1" x14ac:dyDescent="0.25">
      <c r="B237" s="485"/>
      <c r="C237" s="60"/>
      <c r="D237" s="1119" t="s">
        <v>194</v>
      </c>
      <c r="E237" s="960"/>
      <c r="F237" s="960"/>
      <c r="G237" s="960"/>
      <c r="H237" s="960"/>
      <c r="I237" s="960"/>
      <c r="J237" s="960"/>
      <c r="K237" s="960"/>
      <c r="L237" s="960"/>
      <c r="M237" s="960"/>
      <c r="N237" s="960"/>
      <c r="O237" s="960"/>
      <c r="P237" s="960"/>
      <c r="Q237" s="960"/>
      <c r="R237" s="917"/>
      <c r="S237" s="485"/>
      <c r="T237" s="312"/>
      <c r="U237" s="124" t="s">
        <v>1932</v>
      </c>
      <c r="AE237" s="914" t="s">
        <v>11</v>
      </c>
    </row>
    <row r="238" spans="1:32" x14ac:dyDescent="0.25">
      <c r="B238" s="485"/>
      <c r="C238" s="61"/>
      <c r="H238" s="114"/>
      <c r="I238" s="1053"/>
      <c r="J238" s="1054"/>
      <c r="K238" s="1055"/>
      <c r="L238" s="313"/>
      <c r="M238" s="313"/>
      <c r="S238" s="485"/>
      <c r="U238" s="122" t="str">
        <f>IF(ISBLANK(I238),"",I238=FALSE)</f>
        <v/>
      </c>
    </row>
    <row r="239" spans="1:32" ht="5.0999999999999996" customHeight="1" x14ac:dyDescent="0.25">
      <c r="B239" s="485"/>
      <c r="L239" s="313"/>
      <c r="M239" s="313"/>
      <c r="S239" s="485"/>
    </row>
    <row r="240" spans="1:32" ht="13.2" customHeight="1" x14ac:dyDescent="0.25">
      <c r="B240" s="485"/>
      <c r="C240" s="60" t="s">
        <v>34</v>
      </c>
      <c r="D240" s="1104" t="str">
        <f>Translations!$B$946</f>
        <v>Please report the total number of full scope flights covered by the EU ETS in each four-month period during the reporting year for which you are the aircraft operator:</v>
      </c>
      <c r="E240" s="1104"/>
      <c r="F240" s="1104"/>
      <c r="G240" s="1104"/>
      <c r="H240" s="1104"/>
      <c r="I240" s="1104"/>
      <c r="J240" s="1104"/>
      <c r="K240" s="1104"/>
      <c r="L240" s="960"/>
      <c r="M240" s="960"/>
      <c r="N240" s="960"/>
      <c r="O240" s="960"/>
      <c r="P240" s="960"/>
      <c r="Q240" s="960"/>
      <c r="R240" s="917"/>
      <c r="S240" s="485"/>
    </row>
    <row r="241" spans="2:32" ht="15.75" customHeight="1" x14ac:dyDescent="0.25">
      <c r="B241" s="485"/>
      <c r="C241" s="60"/>
      <c r="D241" s="1119" t="str">
        <f>Translations!$B$947</f>
        <v>The local time of departure of the flight determines in which four-month period that flight shall be taken into account.</v>
      </c>
      <c r="E241" s="1119"/>
      <c r="F241" s="1119"/>
      <c r="G241" s="1119"/>
      <c r="H241" s="1119"/>
      <c r="I241" s="1119"/>
      <c r="J241" s="1119"/>
      <c r="K241" s="1119"/>
      <c r="L241" s="960"/>
      <c r="M241" s="960"/>
      <c r="N241" s="960"/>
      <c r="O241" s="960"/>
      <c r="P241" s="960"/>
      <c r="Q241" s="960"/>
      <c r="R241" s="917"/>
      <c r="S241" s="485"/>
    </row>
    <row r="242" spans="2:32" x14ac:dyDescent="0.25">
      <c r="B242" s="485"/>
      <c r="C242" s="60"/>
      <c r="D242" s="138" t="str">
        <f>Translations!$B$948</f>
        <v>Four-month period</v>
      </c>
      <c r="E242" s="139"/>
      <c r="F242" s="139"/>
      <c r="G242" s="140" t="str">
        <f>Translations!$B$949</f>
        <v>Number of flights</v>
      </c>
      <c r="H242" s="141"/>
      <c r="L242" s="313"/>
      <c r="M242" s="313"/>
      <c r="S242" s="485"/>
      <c r="U242" s="163" t="s">
        <v>195</v>
      </c>
    </row>
    <row r="243" spans="2:32" x14ac:dyDescent="0.25">
      <c r="B243" s="485"/>
      <c r="C243" s="60"/>
      <c r="D243" s="142" t="str">
        <f>Translations!$B$950</f>
        <v>January to April</v>
      </c>
      <c r="E243" s="139"/>
      <c r="F243" s="139"/>
      <c r="G243" s="86"/>
      <c r="H243" s="165" t="str">
        <f>IF(ISBLANK(G243),"",IF(G243&gt;=243,"&gt;=243",""))</f>
        <v/>
      </c>
      <c r="L243" s="313"/>
      <c r="M243" s="313"/>
      <c r="S243" s="485"/>
      <c r="U243" s="122" t="str">
        <f>IF(ISNUMBER(G243),G243&lt;243,"")</f>
        <v/>
      </c>
    </row>
    <row r="244" spans="2:32" x14ac:dyDescent="0.25">
      <c r="B244" s="485"/>
      <c r="C244" s="60"/>
      <c r="D244" s="142" t="str">
        <f>Translations!$B$951</f>
        <v>May to August</v>
      </c>
      <c r="E244" s="139"/>
      <c r="F244" s="139"/>
      <c r="G244" s="86"/>
      <c r="H244" s="165" t="str">
        <f>IF(ISBLANK(G244),"",IF(G244&gt;=243,"&gt;=243",""))</f>
        <v/>
      </c>
      <c r="L244" s="313"/>
      <c r="M244" s="313"/>
      <c r="S244" s="485"/>
      <c r="U244" s="122" t="str">
        <f>IF(ISNUMBER(G244),G244&lt;243,"")</f>
        <v/>
      </c>
    </row>
    <row r="245" spans="2:32" ht="13.8" thickBot="1" x14ac:dyDescent="0.3">
      <c r="B245" s="485"/>
      <c r="C245" s="60"/>
      <c r="D245" s="142" t="str">
        <f>Translations!$B$952</f>
        <v>September to December</v>
      </c>
      <c r="E245" s="139"/>
      <c r="F245" s="139"/>
      <c r="G245" s="86"/>
      <c r="H245" s="165" t="str">
        <f>IF(ISBLANK(G245),"",IF(G245&gt;=243,"&gt;=243",""))</f>
        <v/>
      </c>
      <c r="L245" s="313"/>
      <c r="M245" s="313"/>
      <c r="S245" s="485"/>
      <c r="U245" s="122" t="str">
        <f>IF(ISNUMBER(G245),G245&lt;243,"")</f>
        <v/>
      </c>
    </row>
    <row r="246" spans="2:32" ht="13.8" thickBot="1" x14ac:dyDescent="0.3">
      <c r="B246" s="485"/>
      <c r="C246" s="60"/>
      <c r="D246" s="138" t="str">
        <f>Translations!$B$953</f>
        <v>Total:</v>
      </c>
      <c r="E246" s="139"/>
      <c r="F246" s="139"/>
      <c r="G246" s="162">
        <f>IF(ISNUMBER(SUM(G243:G245)),SUM(G243:G245),0)</f>
        <v>0</v>
      </c>
      <c r="H246" s="1105"/>
      <c r="I246" s="1105"/>
      <c r="J246" s="1105"/>
      <c r="K246" s="1105"/>
      <c r="L246" s="313"/>
      <c r="M246" s="313"/>
      <c r="S246" s="485"/>
      <c r="U246" s="164" t="str">
        <f>IF(COUNT(G243:G245)&gt;0,AND(U243,U244,U245),"")</f>
        <v/>
      </c>
    </row>
    <row r="247" spans="2:32" ht="15" customHeight="1" x14ac:dyDescent="0.25">
      <c r="B247" s="485"/>
      <c r="L247" s="313"/>
      <c r="M247" s="313"/>
      <c r="S247" s="485"/>
    </row>
    <row r="248" spans="2:32" x14ac:dyDescent="0.25">
      <c r="B248" s="485"/>
      <c r="C248" s="60" t="s">
        <v>35</v>
      </c>
      <c r="D248" s="1104" t="str">
        <f>Translations!$B$954</f>
        <v>Total emissions in the reporting year:</v>
      </c>
      <c r="E248" s="1104"/>
      <c r="F248" s="1104"/>
      <c r="G248" s="1104"/>
      <c r="H248" s="1104"/>
      <c r="I248" s="1104"/>
      <c r="J248" s="1104"/>
      <c r="K248" s="1104"/>
      <c r="L248" s="313"/>
      <c r="M248" s="313"/>
      <c r="S248" s="485"/>
      <c r="U248" s="124" t="s">
        <v>196</v>
      </c>
    </row>
    <row r="249" spans="2:32" ht="13.2" customHeight="1" x14ac:dyDescent="0.25">
      <c r="B249" s="485"/>
      <c r="C249" s="60"/>
      <c r="D249" s="1119" t="s">
        <v>2015</v>
      </c>
      <c r="E249" s="960"/>
      <c r="F249" s="960"/>
      <c r="G249" s="960"/>
      <c r="H249" s="960"/>
      <c r="I249" s="960"/>
      <c r="J249" s="960"/>
      <c r="K249" s="960"/>
      <c r="L249" s="960"/>
      <c r="M249" s="960"/>
      <c r="N249" s="960"/>
      <c r="O249" s="960"/>
      <c r="P249" s="960"/>
      <c r="Q249" s="960"/>
      <c r="R249" s="917"/>
      <c r="S249" s="485"/>
      <c r="AE249" s="914" t="s">
        <v>11</v>
      </c>
    </row>
    <row r="250" spans="2:32" ht="13.2" customHeight="1" x14ac:dyDescent="0.25">
      <c r="B250" s="485"/>
      <c r="D250" s="1066" t="s">
        <v>197</v>
      </c>
      <c r="E250" s="960"/>
      <c r="F250" s="960"/>
      <c r="G250" s="960"/>
      <c r="H250" s="960"/>
      <c r="I250" s="1168"/>
      <c r="J250" s="289"/>
      <c r="K250" s="143" t="s">
        <v>198</v>
      </c>
      <c r="L250" s="904"/>
      <c r="M250" s="313"/>
      <c r="S250" s="485"/>
      <c r="T250" s="312"/>
      <c r="U250" s="122" t="str">
        <f>IF(ISNUMBER(J250),J250&lt;25000,"")</f>
        <v/>
      </c>
      <c r="AE250" s="914" t="s">
        <v>13</v>
      </c>
    </row>
    <row r="251" spans="2:32" ht="13.2" customHeight="1" x14ac:dyDescent="0.25">
      <c r="B251" s="485"/>
      <c r="D251" s="1066" t="s">
        <v>2084</v>
      </c>
      <c r="E251" s="960"/>
      <c r="F251" s="960"/>
      <c r="G251" s="960"/>
      <c r="H251" s="960"/>
      <c r="I251" s="1168"/>
      <c r="J251" s="926">
        <f>K168</f>
        <v>63823</v>
      </c>
      <c r="K251" s="143" t="s">
        <v>198</v>
      </c>
      <c r="L251" s="313"/>
      <c r="M251" s="313"/>
      <c r="S251" s="485"/>
      <c r="T251" s="312"/>
      <c r="U251" s="122" t="b">
        <f>IF(ISNUMBER(J251),J251&lt;3000,"")</f>
        <v>0</v>
      </c>
      <c r="AE251" s="914" t="s">
        <v>11</v>
      </c>
    </row>
    <row r="252" spans="2:32" ht="12.75" customHeight="1" x14ac:dyDescent="0.25">
      <c r="B252" s="485"/>
      <c r="L252" s="313"/>
      <c r="M252" s="313"/>
      <c r="S252" s="485"/>
      <c r="T252" s="312"/>
      <c r="AE252" s="914" t="s">
        <v>199</v>
      </c>
    </row>
    <row r="253" spans="2:32" x14ac:dyDescent="0.25">
      <c r="B253" s="485"/>
      <c r="C253" s="60" t="s">
        <v>36</v>
      </c>
      <c r="D253" s="74" t="s">
        <v>2060</v>
      </c>
      <c r="E253" s="74"/>
      <c r="F253" s="74"/>
      <c r="G253" s="74"/>
      <c r="H253" s="74"/>
      <c r="I253" s="74"/>
      <c r="J253" s="1099" t="str">
        <f>IF(AND(COUNT(G243:G245,J250,J251)&gt;0,I238=TRUE),IF(OR(U250,U246,U251),EUconst_Eligible,EUconst_NotEligible),"")</f>
        <v/>
      </c>
      <c r="K253" s="1100"/>
      <c r="L253" s="313"/>
      <c r="M253" s="313"/>
      <c r="S253" s="485"/>
      <c r="AF253" s="312" t="s">
        <v>2058</v>
      </c>
    </row>
    <row r="254" spans="2:32" ht="13.2" customHeight="1" x14ac:dyDescent="0.25">
      <c r="B254" s="485"/>
      <c r="D254" s="1200" t="str">
        <f>Translations!$B$1317</f>
        <v>Note: If you are using the simplified approach for small emitters, but have exceeded the applicable threshold (which is indicated here by the message "not eligible"), the following consequences apply in accordance with Article 55(4) of the MRR:</v>
      </c>
      <c r="E254" s="1200"/>
      <c r="F254" s="1200"/>
      <c r="G254" s="1200"/>
      <c r="H254" s="1200"/>
      <c r="I254" s="1200"/>
      <c r="J254" s="1200"/>
      <c r="K254" s="1200"/>
      <c r="L254" s="960"/>
      <c r="M254" s="960"/>
      <c r="N254" s="960"/>
      <c r="O254" s="960"/>
      <c r="P254" s="960"/>
      <c r="Q254" s="960"/>
      <c r="R254" s="917"/>
      <c r="S254" s="485"/>
    </row>
    <row r="255" spans="2:32" ht="13.2" customHeight="1" x14ac:dyDescent="0.25">
      <c r="B255" s="485"/>
      <c r="D255" s="1119" t="str">
        <f>Translations!$B$958</f>
        <v>The aircraft operator shall notify the competent authority thereof without undue delay and submit a significant modification of the monitoring plan within the meaning of point (vi) of Article 15(4)(a) to the competent authority for approval.</v>
      </c>
      <c r="E255" s="1119"/>
      <c r="F255" s="1119"/>
      <c r="G255" s="1119"/>
      <c r="H255" s="1119"/>
      <c r="I255" s="1119"/>
      <c r="J255" s="1119"/>
      <c r="K255" s="1119"/>
      <c r="L255" s="960"/>
      <c r="M255" s="960"/>
      <c r="N255" s="960"/>
      <c r="O255" s="960"/>
      <c r="P255" s="960"/>
      <c r="Q255" s="960"/>
      <c r="R255" s="917"/>
      <c r="S255" s="485"/>
    </row>
    <row r="256" spans="2:32" ht="26.4" customHeight="1" x14ac:dyDescent="0.25">
      <c r="B256" s="485"/>
      <c r="D256" s="1119" t="str">
        <f>Translations!$B$959</f>
        <v>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v>
      </c>
      <c r="E256" s="1119"/>
      <c r="F256" s="1119"/>
      <c r="G256" s="1119"/>
      <c r="H256" s="1119"/>
      <c r="I256" s="1119"/>
      <c r="J256" s="1119"/>
      <c r="K256" s="1119"/>
      <c r="L256" s="960"/>
      <c r="M256" s="960"/>
      <c r="N256" s="960"/>
      <c r="O256" s="960"/>
      <c r="P256" s="960"/>
      <c r="Q256" s="960"/>
      <c r="R256" s="917"/>
      <c r="S256" s="485"/>
      <c r="U256" s="124" t="s">
        <v>49</v>
      </c>
    </row>
    <row r="257" spans="2:31" ht="5.0999999999999996" customHeight="1" x14ac:dyDescent="0.25">
      <c r="B257" s="485"/>
      <c r="D257" s="67"/>
      <c r="E257" s="67"/>
      <c r="F257" s="67"/>
      <c r="G257" s="67"/>
      <c r="H257" s="67"/>
      <c r="I257" s="67"/>
      <c r="J257" s="67"/>
      <c r="K257" s="67"/>
      <c r="L257" s="67"/>
      <c r="M257" s="67"/>
      <c r="S257" s="485"/>
    </row>
    <row r="258" spans="2:31" ht="13.35" customHeight="1" x14ac:dyDescent="0.25">
      <c r="B258" s="485"/>
      <c r="C258" s="60" t="s">
        <v>48</v>
      </c>
      <c r="D258" s="74" t="str">
        <f>Translations!$B$1125</f>
        <v>Please specify which fuel consumption estimation tool you have used:</v>
      </c>
      <c r="E258" s="67"/>
      <c r="F258" s="67"/>
      <c r="G258" s="67"/>
      <c r="H258" s="67"/>
      <c r="I258" s="67"/>
      <c r="J258" s="1206" t="s">
        <v>762</v>
      </c>
      <c r="K258" s="1207"/>
      <c r="L258" s="67"/>
      <c r="M258" s="67"/>
      <c r="S258" s="485"/>
      <c r="T258" s="312"/>
      <c r="U258" s="122" t="b">
        <f>OR(INDICATOR_WhichToolUsed=INDEX(CommissionApprovedTools,2),INDICATOR_WhichToolUsed=INDEX(CommissionApprovedTools,3))</f>
        <v>0</v>
      </c>
      <c r="AE258" s="914" t="s">
        <v>1942</v>
      </c>
    </row>
    <row r="259" spans="2:31" ht="4.95" customHeight="1" x14ac:dyDescent="0.25">
      <c r="B259" s="485"/>
      <c r="D259" s="67"/>
      <c r="E259" s="67"/>
      <c r="F259" s="67"/>
      <c r="G259" s="67"/>
      <c r="H259" s="67"/>
      <c r="I259" s="67"/>
      <c r="J259" s="67"/>
      <c r="K259" s="67"/>
      <c r="L259" s="67"/>
      <c r="M259" s="67"/>
      <c r="S259" s="485"/>
    </row>
    <row r="260" spans="2:31" ht="13.35" customHeight="1" x14ac:dyDescent="0.25">
      <c r="B260" s="485"/>
      <c r="C260" s="60" t="s">
        <v>200</v>
      </c>
      <c r="D260" s="74" t="str">
        <f>Translations!$B$1126</f>
        <v>If you have chosen "Other" under point (e) above, which one?</v>
      </c>
      <c r="E260" s="67"/>
      <c r="F260" s="67"/>
      <c r="G260" s="67"/>
      <c r="H260" s="67"/>
      <c r="I260" s="67"/>
      <c r="J260" s="1206"/>
      <c r="K260" s="1207"/>
      <c r="L260" s="67"/>
      <c r="M260" s="67"/>
      <c r="S260" s="485"/>
    </row>
    <row r="261" spans="2:31" ht="15" customHeight="1" x14ac:dyDescent="0.25"/>
    <row r="262" spans="2:31" ht="5.0999999999999996" customHeight="1" x14ac:dyDescent="0.25">
      <c r="B262" s="354"/>
      <c r="C262" s="354"/>
      <c r="D262" s="354"/>
      <c r="E262" s="354"/>
      <c r="F262" s="354"/>
      <c r="G262" s="354"/>
      <c r="H262" s="354"/>
      <c r="I262" s="354"/>
      <c r="J262" s="354"/>
      <c r="K262" s="354"/>
      <c r="L262" s="354"/>
      <c r="M262" s="354"/>
      <c r="N262" s="354"/>
      <c r="O262" s="354"/>
      <c r="P262" s="354"/>
      <c r="Q262" s="354"/>
      <c r="R262" s="354"/>
      <c r="S262" s="354"/>
    </row>
    <row r="263" spans="2:31" ht="13.2" customHeight="1" x14ac:dyDescent="0.25">
      <c r="B263" s="354"/>
      <c r="C263" s="390"/>
      <c r="D263" s="1064" t="str">
        <f>Translations!$B$1127</f>
        <v>If you use this report for CORSIA purposes, please confirm here if you are using an applicable emission estimation tool:</v>
      </c>
      <c r="E263" s="999"/>
      <c r="F263" s="999"/>
      <c r="G263" s="999"/>
      <c r="H263" s="999"/>
      <c r="I263" s="999"/>
      <c r="J263" s="999"/>
      <c r="K263" s="999"/>
      <c r="L263" s="960"/>
      <c r="M263" s="960"/>
      <c r="N263" s="960"/>
      <c r="O263" s="960"/>
      <c r="P263" s="960"/>
      <c r="Q263" s="960"/>
      <c r="R263" s="917"/>
      <c r="S263" s="354"/>
    </row>
    <row r="264" spans="2:31" ht="5.0999999999999996" customHeight="1" x14ac:dyDescent="0.25">
      <c r="B264" s="354"/>
      <c r="C264" s="389"/>
      <c r="L264" s="559"/>
      <c r="M264" s="559"/>
      <c r="S264" s="354"/>
    </row>
    <row r="265" spans="2:31" ht="15" customHeight="1" x14ac:dyDescent="0.25">
      <c r="B265" s="354"/>
      <c r="C265" s="390" t="s">
        <v>43</v>
      </c>
      <c r="D265" s="1065" t="str">
        <f>Translations!$B$1128</f>
        <v>An emission estimation tool was used for all emissions under CORSIA:</v>
      </c>
      <c r="E265" s="963"/>
      <c r="F265" s="963"/>
      <c r="G265" s="963"/>
      <c r="H265" s="963"/>
      <c r="I265" s="963"/>
      <c r="J265" s="1213"/>
      <c r="K265" s="846"/>
      <c r="L265" s="559"/>
      <c r="M265" s="559"/>
      <c r="S265" s="354"/>
      <c r="U265" s="122" t="b">
        <f>AND(INDICATOR_ToolUsedForAllCORSIAemissions&lt;&gt;"",INDICATOR_ToolUsedForAllCORSIAemissions=FALSE)</f>
        <v>0</v>
      </c>
    </row>
    <row r="266" spans="2:31" ht="5.0999999999999996" customHeight="1" x14ac:dyDescent="0.25">
      <c r="B266" s="354"/>
      <c r="D266" s="812"/>
      <c r="E266" s="812"/>
      <c r="F266" s="812"/>
      <c r="G266" s="812"/>
      <c r="H266" s="812"/>
      <c r="I266" s="812"/>
      <c r="J266" s="812"/>
      <c r="K266" s="812"/>
      <c r="L266" s="812"/>
      <c r="M266" s="812"/>
      <c r="S266" s="354"/>
    </row>
    <row r="267" spans="2:31" ht="13.35" customHeight="1" x14ac:dyDescent="0.25">
      <c r="B267" s="354"/>
      <c r="C267" s="60" t="s">
        <v>1913</v>
      </c>
      <c r="D267" s="74" t="str">
        <f>Translations!$B$1125</f>
        <v>Please specify which fuel consumption estimation tool you have used:</v>
      </c>
      <c r="E267" s="832"/>
      <c r="F267" s="832"/>
      <c r="G267" s="832"/>
      <c r="H267" s="832"/>
      <c r="I267" s="812"/>
      <c r="J267" s="1206" t="s">
        <v>762</v>
      </c>
      <c r="K267" s="1207"/>
      <c r="L267" s="812"/>
      <c r="M267" s="812"/>
      <c r="S267" s="354"/>
      <c r="T267" s="312"/>
      <c r="U267" s="122" t="b">
        <f>OR(J267=INDEX(CommissionApprovedTools,2),J267=INDEX(CommissionApprovedTools,3))</f>
        <v>0</v>
      </c>
      <c r="AE267" s="914" t="s">
        <v>11</v>
      </c>
    </row>
    <row r="268" spans="2:31" ht="4.95" customHeight="1" x14ac:dyDescent="0.25">
      <c r="B268" s="354"/>
      <c r="D268" s="832"/>
      <c r="E268" s="832"/>
      <c r="F268" s="832"/>
      <c r="G268" s="832"/>
      <c r="H268" s="832"/>
      <c r="I268" s="812"/>
      <c r="J268" s="812"/>
      <c r="K268" s="812"/>
      <c r="L268" s="812"/>
      <c r="M268" s="812"/>
      <c r="S268" s="354"/>
    </row>
    <row r="269" spans="2:31" ht="13.35" customHeight="1" x14ac:dyDescent="0.25">
      <c r="B269" s="354"/>
      <c r="C269" s="60" t="s">
        <v>1914</v>
      </c>
      <c r="D269" s="74" t="s">
        <v>1943</v>
      </c>
      <c r="E269" s="832"/>
      <c r="F269" s="832"/>
      <c r="G269" s="832"/>
      <c r="H269" s="832"/>
      <c r="I269" s="812"/>
      <c r="J269" s="1206"/>
      <c r="K269" s="1207"/>
      <c r="L269" s="812"/>
      <c r="M269" s="812"/>
      <c r="S269" s="354"/>
      <c r="T269" s="312"/>
      <c r="AE269" s="914" t="s">
        <v>11</v>
      </c>
    </row>
    <row r="270" spans="2:31" ht="5.0999999999999996" customHeight="1" x14ac:dyDescent="0.25">
      <c r="B270" s="354"/>
      <c r="C270" s="389"/>
      <c r="L270" s="559"/>
      <c r="M270" s="559"/>
      <c r="S270" s="354"/>
    </row>
    <row r="271" spans="2:31" ht="15" customHeight="1" x14ac:dyDescent="0.25">
      <c r="B271" s="354"/>
      <c r="C271" s="829" t="s">
        <v>45</v>
      </c>
      <c r="D271" s="1214" t="str">
        <f>Translations!$B$1129</f>
        <v>An emission estimation tool was used only for emissions without offsetting requirements:</v>
      </c>
      <c r="E271" s="1215"/>
      <c r="F271" s="1215"/>
      <c r="G271" s="1215"/>
      <c r="H271" s="1215"/>
      <c r="I271" s="1215"/>
      <c r="J271" s="1216"/>
      <c r="K271" s="830"/>
      <c r="L271" s="559"/>
      <c r="M271" s="559"/>
      <c r="S271" s="354"/>
      <c r="T271" s="312"/>
      <c r="AE271" s="914" t="s">
        <v>1912</v>
      </c>
    </row>
    <row r="272" spans="2:31" ht="12.75" customHeight="1" x14ac:dyDescent="0.25">
      <c r="B272" s="354"/>
      <c r="C272" s="831"/>
      <c r="D272" s="1217" t="str">
        <f>Translations!$B$1230</f>
        <v>This option is only relevant for emissions taking place from 2021 onwards.</v>
      </c>
      <c r="E272" s="1218"/>
      <c r="F272" s="1218"/>
      <c r="G272" s="1218"/>
      <c r="H272" s="1218"/>
      <c r="I272" s="1218"/>
      <c r="J272" s="1218"/>
      <c r="K272" s="1218"/>
      <c r="L272" s="574"/>
      <c r="M272" s="574"/>
      <c r="S272" s="354"/>
    </row>
    <row r="273" spans="1:32" ht="5.0999999999999996" customHeight="1" x14ac:dyDescent="0.25">
      <c r="B273" s="354"/>
      <c r="C273" s="354"/>
      <c r="D273" s="354"/>
      <c r="E273" s="354"/>
      <c r="F273" s="354"/>
      <c r="G273" s="354"/>
      <c r="H273" s="354"/>
      <c r="I273" s="354"/>
      <c r="J273" s="354"/>
      <c r="K273" s="354"/>
      <c r="L273" s="354"/>
      <c r="M273" s="354"/>
      <c r="N273" s="354"/>
      <c r="O273" s="354"/>
      <c r="P273" s="354"/>
      <c r="Q273" s="354"/>
      <c r="R273" s="354"/>
      <c r="S273" s="354"/>
    </row>
    <row r="274" spans="1:32" ht="15" customHeight="1" x14ac:dyDescent="0.25"/>
    <row r="275" spans="1:32" ht="15" customHeight="1" x14ac:dyDescent="0.25">
      <c r="C275" s="103">
        <v>7</v>
      </c>
      <c r="D275" s="1081" t="str">
        <f>Translations!$B$846</f>
        <v>Approach for data gaps</v>
      </c>
      <c r="E275" s="960"/>
      <c r="F275" s="960"/>
      <c r="G275" s="960"/>
      <c r="H275" s="960"/>
      <c r="I275" s="960"/>
      <c r="J275" s="960"/>
      <c r="K275" s="960"/>
      <c r="L275" s="960"/>
      <c r="M275" s="960"/>
      <c r="N275" s="960"/>
      <c r="O275" s="960"/>
      <c r="P275" s="960"/>
      <c r="Q275" s="960"/>
      <c r="R275" s="960"/>
    </row>
    <row r="276" spans="1:32" ht="26.4" customHeight="1" x14ac:dyDescent="0.25">
      <c r="C276" s="67"/>
      <c r="D276" s="1157" t="str">
        <f>Translations!$B$1275</f>
        <v>For limiting administrative burden, this sections (a) and (b) should cover emissions of both systems, EU ETS and CH ETS. Data gaps relevant for CORSIA can be included, too.</v>
      </c>
      <c r="E276" s="1157"/>
      <c r="F276" s="1157"/>
      <c r="G276" s="1157"/>
      <c r="H276" s="1157"/>
      <c r="I276" s="1157"/>
      <c r="J276" s="1157"/>
      <c r="K276" s="1157"/>
      <c r="L276" s="1158"/>
      <c r="M276" s="1158"/>
      <c r="N276" s="1158"/>
      <c r="O276" s="1158"/>
      <c r="P276" s="1158"/>
      <c r="Q276" s="1158"/>
      <c r="R276" s="921"/>
    </row>
    <row r="277" spans="1:32" ht="15" customHeight="1" x14ac:dyDescent="0.25">
      <c r="C277" s="60" t="s">
        <v>33</v>
      </c>
      <c r="D277" s="1104" t="str">
        <f>Translations!$B$960</f>
        <v>List of data gaps occurred and method of determining surrogate data</v>
      </c>
      <c r="E277" s="1104"/>
      <c r="F277" s="1104"/>
      <c r="G277" s="1104"/>
      <c r="H277" s="1104"/>
      <c r="I277" s="1104"/>
      <c r="J277" s="1104"/>
      <c r="K277" s="1104"/>
      <c r="L277" s="960"/>
      <c r="M277" s="960"/>
      <c r="N277" s="960"/>
      <c r="O277" s="960"/>
      <c r="P277" s="960"/>
      <c r="Q277" s="960"/>
      <c r="R277" s="917"/>
    </row>
    <row r="278" spans="1:32" ht="13.2" customHeight="1" x14ac:dyDescent="0.25">
      <c r="C278" s="67"/>
      <c r="D278" s="1046" t="str">
        <f>Translations!$B$1354</f>
        <v>In accordance with Article 66(2) of the MRR data gaps must be closed by a method defined in the monitoring plan, or if this is not possible, by using a tool which may be used for the small emitters approach.</v>
      </c>
      <c r="E278" s="1211"/>
      <c r="F278" s="1211"/>
      <c r="G278" s="1211"/>
      <c r="H278" s="1211"/>
      <c r="I278" s="1211"/>
      <c r="J278" s="1211"/>
      <c r="K278" s="1211"/>
      <c r="L278" s="960"/>
      <c r="M278" s="960"/>
      <c r="N278" s="960"/>
      <c r="O278" s="960"/>
      <c r="P278" s="960"/>
      <c r="Q278" s="960"/>
      <c r="R278" s="917"/>
    </row>
    <row r="279" spans="1:32" ht="26.4" customHeight="1" x14ac:dyDescent="0.25">
      <c r="C279" s="67"/>
      <c r="D279" s="1078" t="str">
        <f>Translations!$B$962</f>
        <v>Please specify here the data gaps occurred, how surrogate data was determined, and the amount of emissions according to the surrogate data. Note that these data are NOT added to the emissions given in section 5 and/or 12 (if relevant), but must be included in the data in those sections.</v>
      </c>
      <c r="E279" s="1212"/>
      <c r="F279" s="1212"/>
      <c r="G279" s="1212"/>
      <c r="H279" s="1212"/>
      <c r="I279" s="1212"/>
      <c r="J279" s="1212"/>
      <c r="K279" s="1212"/>
      <c r="L279" s="960"/>
      <c r="M279" s="960"/>
      <c r="N279" s="960"/>
      <c r="O279" s="960"/>
      <c r="P279" s="960"/>
      <c r="Q279" s="960"/>
      <c r="R279" s="917"/>
    </row>
    <row r="280" spans="1:32" ht="5.0999999999999996" customHeight="1" x14ac:dyDescent="0.25">
      <c r="C280" s="67"/>
      <c r="D280" s="1119"/>
      <c r="E280" s="960"/>
      <c r="F280" s="960"/>
      <c r="G280" s="960"/>
      <c r="H280" s="960"/>
      <c r="I280" s="960"/>
      <c r="J280" s="960"/>
      <c r="K280" s="960"/>
      <c r="L280" s="960"/>
      <c r="M280" s="960"/>
      <c r="N280" s="960"/>
      <c r="O280" s="960"/>
      <c r="P280" s="960"/>
      <c r="Q280" s="960"/>
      <c r="R280" s="917"/>
    </row>
    <row r="281" spans="1:32" s="53" customFormat="1" ht="12.75" customHeight="1" x14ac:dyDescent="0.25">
      <c r="A281" s="129"/>
      <c r="D281" s="1119" t="str">
        <f>Translations!$B$963</f>
        <v>The table should be filled as follows:</v>
      </c>
      <c r="E281" s="1119"/>
      <c r="F281" s="1119"/>
      <c r="G281" s="1119"/>
      <c r="H281" s="1119"/>
      <c r="I281" s="1119"/>
      <c r="J281" s="1119"/>
      <c r="K281" s="1119"/>
      <c r="L281" s="960"/>
      <c r="M281" s="960"/>
      <c r="N281" s="960"/>
      <c r="O281" s="960"/>
      <c r="P281" s="960"/>
      <c r="Q281" s="960"/>
      <c r="R281" s="917"/>
      <c r="U281" s="130"/>
      <c r="V281" s="129"/>
      <c r="W281" s="129"/>
      <c r="X281" s="129"/>
      <c r="Y281" s="129"/>
      <c r="Z281" s="129"/>
      <c r="AA281" s="129"/>
      <c r="AB281" s="129"/>
      <c r="AC281" s="129"/>
      <c r="AD281" s="129"/>
      <c r="AE281" s="915"/>
      <c r="AF281" s="312"/>
    </row>
    <row r="282" spans="1:32" s="53" customFormat="1" ht="13.2" customHeight="1" x14ac:dyDescent="0.25">
      <c r="A282" s="129"/>
      <c r="D282" s="1201" t="str">
        <f>Translations!$B$964</f>
        <v>Reference</v>
      </c>
      <c r="E282" s="1141"/>
      <c r="F282" s="1140" t="str">
        <f>Translations!$B$965</f>
        <v>Here the data gap should be specified, either by referencing the aircraft, aerodrome, flight numbers etc. for which the data gap occurred, and/or the start and end date of the period where the gap occurred.</v>
      </c>
      <c r="G282" s="1140"/>
      <c r="H282" s="1140"/>
      <c r="I282" s="1140"/>
      <c r="J282" s="1140"/>
      <c r="K282" s="1140"/>
      <c r="L282" s="1140"/>
      <c r="M282" s="1141"/>
      <c r="N282" s="1141"/>
      <c r="O282" s="1141"/>
      <c r="P282" s="1141"/>
      <c r="Q282" s="1142"/>
      <c r="R282" s="923"/>
      <c r="U282" s="130"/>
      <c r="V282" s="129"/>
      <c r="W282" s="129"/>
      <c r="X282" s="129"/>
      <c r="Y282" s="129"/>
      <c r="Z282" s="129"/>
      <c r="AA282" s="129"/>
      <c r="AB282" s="129"/>
      <c r="AC282" s="129"/>
      <c r="AD282" s="129"/>
      <c r="AE282" s="915"/>
      <c r="AF282" s="312"/>
    </row>
    <row r="283" spans="1:32" s="53" customFormat="1" ht="13.2" customHeight="1" x14ac:dyDescent="0.25">
      <c r="A283" s="129"/>
      <c r="D283" s="1201" t="str">
        <f>Translations!$B$966</f>
        <v>Reason</v>
      </c>
      <c r="E283" s="1141"/>
      <c r="F283" s="1140" t="str">
        <f>Translations!$B$967</f>
        <v>Please describe here the reason why the data gap occurred.</v>
      </c>
      <c r="G283" s="1140"/>
      <c r="H283" s="1140"/>
      <c r="I283" s="1140"/>
      <c r="J283" s="1140"/>
      <c r="K283" s="1140"/>
      <c r="L283" s="1140"/>
      <c r="M283" s="1141"/>
      <c r="N283" s="1141"/>
      <c r="O283" s="1141"/>
      <c r="P283" s="1141"/>
      <c r="Q283" s="1142"/>
      <c r="R283" s="923"/>
      <c r="U283" s="130"/>
      <c r="V283" s="129"/>
      <c r="W283" s="129"/>
      <c r="X283" s="129"/>
      <c r="Y283" s="129"/>
      <c r="Z283" s="129"/>
      <c r="AA283" s="129"/>
      <c r="AB283" s="129"/>
      <c r="AC283" s="129"/>
      <c r="AD283" s="129"/>
      <c r="AE283" s="915"/>
      <c r="AF283" s="312"/>
    </row>
    <row r="284" spans="1:32" s="53" customFormat="1" ht="13.2" customHeight="1" x14ac:dyDescent="0.25">
      <c r="A284" s="129"/>
      <c r="D284" s="1201" t="str">
        <f>Translations!$B$968</f>
        <v>Type</v>
      </c>
      <c r="E284" s="1141"/>
      <c r="F284" s="1140" t="str">
        <f>Translations!$B$969</f>
        <v>Please describe here the type of data gap, such as "density measurement not available", "fuel uplift not available", "flights missing activity list", etc.</v>
      </c>
      <c r="G284" s="1140"/>
      <c r="H284" s="1140"/>
      <c r="I284" s="1140"/>
      <c r="J284" s="1140"/>
      <c r="K284" s="1140"/>
      <c r="L284" s="1140"/>
      <c r="M284" s="1141"/>
      <c r="N284" s="1141"/>
      <c r="O284" s="1141"/>
      <c r="P284" s="1141"/>
      <c r="Q284" s="1142"/>
      <c r="R284" s="923"/>
      <c r="U284" s="130"/>
      <c r="V284" s="129"/>
      <c r="W284" s="129"/>
      <c r="X284" s="129"/>
      <c r="Y284" s="129"/>
      <c r="Z284" s="129"/>
      <c r="AA284" s="129"/>
      <c r="AB284" s="129"/>
      <c r="AC284" s="129"/>
      <c r="AD284" s="129"/>
      <c r="AE284" s="915"/>
      <c r="AF284" s="312"/>
    </row>
    <row r="285" spans="1:32" s="53" customFormat="1" ht="13.2" customHeight="1" x14ac:dyDescent="0.25">
      <c r="A285" s="129"/>
      <c r="D285" s="1201" t="str">
        <f>Translations!$B$970</f>
        <v>Replacement method</v>
      </c>
      <c r="E285" s="1141"/>
      <c r="F285" s="1140" t="str">
        <f>Translations!$B$971</f>
        <v>please indicate the method of determining surrogate data, by referencing the procedure in your monitoring plan, or by "small emitter tool" etc.</v>
      </c>
      <c r="G285" s="1140"/>
      <c r="H285" s="1140"/>
      <c r="I285" s="1140"/>
      <c r="J285" s="1140"/>
      <c r="K285" s="1140"/>
      <c r="L285" s="1140"/>
      <c r="M285" s="1141"/>
      <c r="N285" s="1141"/>
      <c r="O285" s="1141"/>
      <c r="P285" s="1141"/>
      <c r="Q285" s="1142"/>
      <c r="R285" s="923"/>
      <c r="U285" s="130"/>
      <c r="V285" s="129"/>
      <c r="W285" s="129"/>
      <c r="X285" s="129"/>
      <c r="Y285" s="129"/>
      <c r="Z285" s="129"/>
      <c r="AA285" s="129"/>
      <c r="AB285" s="129"/>
      <c r="AC285" s="129"/>
      <c r="AD285" s="129"/>
      <c r="AE285" s="915"/>
      <c r="AF285" s="312"/>
    </row>
    <row r="286" spans="1:32" s="53" customFormat="1" ht="13.2" customHeight="1" x14ac:dyDescent="0.25">
      <c r="A286" s="129"/>
      <c r="D286" s="1201" t="str">
        <f>Translations!$B$972</f>
        <v>Emissions</v>
      </c>
      <c r="E286" s="1141"/>
      <c r="F286" s="1140" t="s">
        <v>1940</v>
      </c>
      <c r="G286" s="1140"/>
      <c r="H286" s="1140"/>
      <c r="I286" s="1140"/>
      <c r="J286" s="1140"/>
      <c r="K286" s="1140"/>
      <c r="L286" s="1140"/>
      <c r="M286" s="1141"/>
      <c r="N286" s="1141"/>
      <c r="O286" s="1141"/>
      <c r="P286" s="1141"/>
      <c r="Q286" s="1142"/>
      <c r="R286" s="923"/>
      <c r="T286" s="786"/>
      <c r="U286" s="130"/>
      <c r="V286" s="129"/>
      <c r="W286" s="129"/>
      <c r="X286" s="129"/>
      <c r="Y286" s="129"/>
      <c r="Z286" s="129"/>
      <c r="AA286" s="129"/>
      <c r="AB286" s="129"/>
      <c r="AC286" s="129"/>
      <c r="AD286" s="129"/>
      <c r="AE286" s="915" t="s">
        <v>13</v>
      </c>
      <c r="AF286" s="312"/>
    </row>
    <row r="287" spans="1:32" ht="13.2" customHeight="1" x14ac:dyDescent="0.25">
      <c r="C287" s="67"/>
      <c r="D287" s="67"/>
      <c r="E287" s="67"/>
      <c r="F287" s="67"/>
      <c r="G287" s="67"/>
      <c r="H287" s="67"/>
      <c r="I287" s="67"/>
      <c r="J287" s="67"/>
      <c r="K287" s="67"/>
      <c r="L287" s="67"/>
      <c r="M287" s="67"/>
    </row>
    <row r="288" spans="1:32" ht="26.4" customHeight="1" x14ac:dyDescent="0.25">
      <c r="B288" s="485"/>
      <c r="C288" s="67"/>
      <c r="D288" s="1209" t="str">
        <f>Translations!$B$964</f>
        <v>Reference</v>
      </c>
      <c r="E288" s="982"/>
      <c r="F288" s="1210" t="str">
        <f>Translations!$B$966</f>
        <v>Reason</v>
      </c>
      <c r="G288" s="982"/>
      <c r="H288" s="982"/>
      <c r="I288" s="1209" t="str">
        <f>Translations!$B$968</f>
        <v>Type</v>
      </c>
      <c r="J288" s="982"/>
      <c r="K288" s="982"/>
      <c r="L288" s="1209" t="str">
        <f>Translations!$B$970</f>
        <v>Replacement method</v>
      </c>
      <c r="M288" s="982"/>
      <c r="N288" s="982"/>
      <c r="O288" s="982"/>
      <c r="P288" s="982"/>
      <c r="Q288" s="839" t="s">
        <v>1958</v>
      </c>
      <c r="R288" s="939"/>
      <c r="S288" s="485"/>
      <c r="T288" s="312"/>
      <c r="AE288" s="914" t="s">
        <v>1941</v>
      </c>
    </row>
    <row r="289" spans="1:32" ht="15" customHeight="1" x14ac:dyDescent="0.25">
      <c r="B289" s="485"/>
      <c r="C289" s="67"/>
      <c r="D289" s="1125"/>
      <c r="E289" s="982"/>
      <c r="F289" s="1126"/>
      <c r="G289" s="982"/>
      <c r="H289" s="982"/>
      <c r="I289" s="1126"/>
      <c r="J289" s="982"/>
      <c r="K289" s="982"/>
      <c r="L289" s="1126"/>
      <c r="M289" s="982"/>
      <c r="N289" s="982"/>
      <c r="O289" s="982"/>
      <c r="P289" s="982"/>
      <c r="Q289" s="840"/>
      <c r="R289" s="940"/>
      <c r="S289" s="485"/>
    </row>
    <row r="290" spans="1:32" ht="15" customHeight="1" x14ac:dyDescent="0.25">
      <c r="B290" s="485"/>
      <c r="C290" s="67"/>
      <c r="D290" s="1125"/>
      <c r="E290" s="982"/>
      <c r="F290" s="1126"/>
      <c r="G290" s="982"/>
      <c r="H290" s="982"/>
      <c r="I290" s="1126"/>
      <c r="J290" s="982"/>
      <c r="K290" s="982"/>
      <c r="L290" s="1126"/>
      <c r="M290" s="982"/>
      <c r="N290" s="982"/>
      <c r="O290" s="982"/>
      <c r="P290" s="982"/>
      <c r="Q290" s="840"/>
      <c r="R290" s="940"/>
      <c r="S290" s="485"/>
    </row>
    <row r="291" spans="1:32" ht="15" customHeight="1" x14ac:dyDescent="0.25">
      <c r="B291" s="485"/>
      <c r="C291" s="67"/>
      <c r="D291" s="1125"/>
      <c r="E291" s="982"/>
      <c r="F291" s="1126"/>
      <c r="G291" s="982"/>
      <c r="H291" s="982"/>
      <c r="I291" s="1126"/>
      <c r="J291" s="982"/>
      <c r="K291" s="982"/>
      <c r="L291" s="1126"/>
      <c r="M291" s="982"/>
      <c r="N291" s="982"/>
      <c r="O291" s="982"/>
      <c r="P291" s="982"/>
      <c r="Q291" s="840"/>
      <c r="R291" s="940"/>
      <c r="S291" s="485"/>
    </row>
    <row r="292" spans="1:32" ht="15" customHeight="1" x14ac:dyDescent="0.25">
      <c r="B292" s="485"/>
      <c r="C292" s="67"/>
      <c r="D292" s="1125"/>
      <c r="E292" s="982"/>
      <c r="F292" s="1126"/>
      <c r="G292" s="982"/>
      <c r="H292" s="982"/>
      <c r="I292" s="1126"/>
      <c r="J292" s="982"/>
      <c r="K292" s="982"/>
      <c r="L292" s="1126"/>
      <c r="M292" s="982"/>
      <c r="N292" s="982"/>
      <c r="O292" s="982"/>
      <c r="P292" s="982"/>
      <c r="Q292" s="840"/>
      <c r="R292" s="940"/>
      <c r="S292" s="485"/>
    </row>
    <row r="293" spans="1:32" ht="15" customHeight="1" x14ac:dyDescent="0.25">
      <c r="B293" s="485"/>
      <c r="C293" s="67"/>
      <c r="D293" s="1125"/>
      <c r="E293" s="982"/>
      <c r="F293" s="1126"/>
      <c r="G293" s="982"/>
      <c r="H293" s="982"/>
      <c r="I293" s="1126"/>
      <c r="J293" s="982"/>
      <c r="K293" s="982"/>
      <c r="L293" s="1126"/>
      <c r="M293" s="982"/>
      <c r="N293" s="982"/>
      <c r="O293" s="982"/>
      <c r="P293" s="982"/>
      <c r="Q293" s="840"/>
      <c r="R293" s="940"/>
      <c r="S293" s="485"/>
    </row>
    <row r="294" spans="1:32" ht="15" customHeight="1" x14ac:dyDescent="0.25">
      <c r="B294" s="485"/>
      <c r="C294" s="67"/>
      <c r="D294" s="1125"/>
      <c r="E294" s="982"/>
      <c r="F294" s="1126"/>
      <c r="G294" s="982"/>
      <c r="H294" s="982"/>
      <c r="I294" s="1126"/>
      <c r="J294" s="982"/>
      <c r="K294" s="982"/>
      <c r="L294" s="1126"/>
      <c r="M294" s="982"/>
      <c r="N294" s="982"/>
      <c r="O294" s="982"/>
      <c r="P294" s="982"/>
      <c r="Q294" s="840"/>
      <c r="R294" s="940"/>
      <c r="S294" s="485"/>
    </row>
    <row r="295" spans="1:32" ht="15" customHeight="1" x14ac:dyDescent="0.25">
      <c r="B295" s="485"/>
      <c r="C295" s="67"/>
      <c r="D295" s="1125"/>
      <c r="E295" s="982"/>
      <c r="F295" s="1126"/>
      <c r="G295" s="982"/>
      <c r="H295" s="982"/>
      <c r="I295" s="1126"/>
      <c r="J295" s="982"/>
      <c r="K295" s="982"/>
      <c r="L295" s="1126"/>
      <c r="M295" s="982"/>
      <c r="N295" s="982"/>
      <c r="O295" s="982"/>
      <c r="P295" s="982"/>
      <c r="Q295" s="840"/>
      <c r="R295" s="940"/>
      <c r="S295" s="485"/>
    </row>
    <row r="296" spans="1:32" ht="15" customHeight="1" x14ac:dyDescent="0.25">
      <c r="B296" s="485"/>
      <c r="C296" s="67"/>
      <c r="D296" s="1125"/>
      <c r="E296" s="982"/>
      <c r="F296" s="1126"/>
      <c r="G296" s="982"/>
      <c r="H296" s="982"/>
      <c r="I296" s="1126"/>
      <c r="J296" s="982"/>
      <c r="K296" s="982"/>
      <c r="L296" s="1126"/>
      <c r="M296" s="982"/>
      <c r="N296" s="982"/>
      <c r="O296" s="982"/>
      <c r="P296" s="982"/>
      <c r="Q296" s="840"/>
      <c r="R296" s="940"/>
      <c r="S296" s="485"/>
    </row>
    <row r="297" spans="1:32" ht="15" customHeight="1" x14ac:dyDescent="0.25">
      <c r="B297" s="485"/>
      <c r="C297" s="67"/>
      <c r="D297" s="1125"/>
      <c r="E297" s="982"/>
      <c r="F297" s="1126"/>
      <c r="G297" s="982"/>
      <c r="H297" s="982"/>
      <c r="I297" s="1126"/>
      <c r="J297" s="982"/>
      <c r="K297" s="982"/>
      <c r="L297" s="1126"/>
      <c r="M297" s="982"/>
      <c r="N297" s="982"/>
      <c r="O297" s="982"/>
      <c r="P297" s="982"/>
      <c r="Q297" s="840"/>
      <c r="R297" s="940"/>
      <c r="S297" s="485"/>
    </row>
    <row r="298" spans="1:32" ht="15" customHeight="1" x14ac:dyDescent="0.25">
      <c r="B298" s="485"/>
      <c r="C298" s="67"/>
      <c r="D298" s="1125"/>
      <c r="E298" s="982"/>
      <c r="F298" s="1126"/>
      <c r="G298" s="982"/>
      <c r="H298" s="982"/>
      <c r="I298" s="1126"/>
      <c r="J298" s="982"/>
      <c r="K298" s="982"/>
      <c r="L298" s="1126"/>
      <c r="M298" s="982"/>
      <c r="N298" s="982"/>
      <c r="O298" s="982"/>
      <c r="P298" s="982"/>
      <c r="Q298" s="840"/>
      <c r="R298" s="940"/>
      <c r="S298" s="485"/>
    </row>
    <row r="299" spans="1:32" ht="15" customHeight="1" x14ac:dyDescent="0.25">
      <c r="B299" s="485"/>
      <c r="C299" s="67"/>
      <c r="D299" s="1125"/>
      <c r="E299" s="982"/>
      <c r="F299" s="1126"/>
      <c r="G299" s="982"/>
      <c r="H299" s="982"/>
      <c r="I299" s="1126"/>
      <c r="J299" s="982"/>
      <c r="K299" s="982"/>
      <c r="L299" s="1126"/>
      <c r="M299" s="982"/>
      <c r="N299" s="982"/>
      <c r="O299" s="982"/>
      <c r="P299" s="982"/>
      <c r="Q299" s="840"/>
      <c r="R299" s="940"/>
      <c r="S299" s="485"/>
    </row>
    <row r="300" spans="1:32" ht="15" customHeight="1" x14ac:dyDescent="0.25">
      <c r="B300" s="485"/>
      <c r="C300" s="67"/>
      <c r="D300" s="1127" t="s">
        <v>82</v>
      </c>
      <c r="E300" s="982"/>
      <c r="F300" s="1128" t="s">
        <v>82</v>
      </c>
      <c r="G300" s="982"/>
      <c r="H300" s="982"/>
      <c r="I300" s="1128" t="s">
        <v>82</v>
      </c>
      <c r="J300" s="982"/>
      <c r="K300" s="982"/>
      <c r="L300" s="1128" t="s">
        <v>82</v>
      </c>
      <c r="M300" s="982"/>
      <c r="N300" s="982"/>
      <c r="O300" s="982"/>
      <c r="P300" s="982"/>
      <c r="Q300" s="813" t="s">
        <v>82</v>
      </c>
      <c r="R300" s="941"/>
      <c r="S300" s="485"/>
    </row>
    <row r="301" spans="1:32" s="53" customFormat="1" ht="12.75" customHeight="1" x14ac:dyDescent="0.25">
      <c r="A301" s="129"/>
      <c r="B301" s="485"/>
      <c r="D301" s="1119" t="str">
        <f>Translations!$B$1139</f>
        <v>If required, you may add further rows above the "end" markers by inserting rows above this one. This is best done by inserting a copied row.</v>
      </c>
      <c r="E301" s="1119"/>
      <c r="F301" s="1119"/>
      <c r="G301" s="1119"/>
      <c r="H301" s="1119"/>
      <c r="I301" s="1119"/>
      <c r="J301" s="1119"/>
      <c r="K301" s="1119"/>
      <c r="L301" s="80"/>
      <c r="M301" s="80"/>
      <c r="N301" s="68"/>
      <c r="R301" s="920"/>
      <c r="S301" s="485"/>
      <c r="U301" s="130"/>
      <c r="V301" s="129"/>
      <c r="W301" s="129"/>
      <c r="X301" s="129"/>
      <c r="Y301" s="129"/>
      <c r="Z301" s="129"/>
      <c r="AA301" s="129"/>
      <c r="AB301" s="129"/>
      <c r="AC301" s="129"/>
      <c r="AD301" s="129"/>
      <c r="AE301" s="915"/>
      <c r="AF301" s="312"/>
    </row>
    <row r="302" spans="1:32" s="53" customFormat="1" ht="12.75" customHeight="1" x14ac:dyDescent="0.25">
      <c r="A302" s="129"/>
      <c r="B302" s="485"/>
      <c r="D302" s="80"/>
      <c r="E302" s="80"/>
      <c r="F302" s="80"/>
      <c r="G302" s="80"/>
      <c r="H302" s="80"/>
      <c r="I302" s="80"/>
      <c r="J302" s="80"/>
      <c r="K302" s="80"/>
      <c r="L302" s="80"/>
      <c r="M302" s="80"/>
      <c r="N302" s="68"/>
      <c r="R302" s="920"/>
      <c r="S302" s="485"/>
      <c r="U302" s="130"/>
      <c r="V302" s="129"/>
      <c r="W302" s="129"/>
      <c r="X302" s="129"/>
      <c r="Y302" s="129"/>
      <c r="Z302" s="129"/>
      <c r="AA302" s="129"/>
      <c r="AB302" s="129"/>
      <c r="AC302" s="129"/>
      <c r="AD302" s="129"/>
      <c r="AE302" s="915"/>
      <c r="AF302" s="312"/>
    </row>
    <row r="303" spans="1:32" s="53" customFormat="1" ht="12.75" customHeight="1" x14ac:dyDescent="0.25">
      <c r="A303" s="129"/>
      <c r="B303" s="485"/>
      <c r="C303" s="60" t="s">
        <v>34</v>
      </c>
      <c r="D303" s="1065" t="str">
        <f>Translations!$B$1276</f>
        <v>Percentage of EU/CH ETS flights for which data gaps occurred (rounded to nearest 0.1%)</v>
      </c>
      <c r="E303" s="963"/>
      <c r="F303" s="963"/>
      <c r="G303" s="963"/>
      <c r="H303" s="963"/>
      <c r="I303" s="963"/>
      <c r="J303" s="963"/>
      <c r="K303" s="355"/>
      <c r="L303" s="80"/>
      <c r="M303" s="80"/>
      <c r="N303" s="68"/>
      <c r="R303" s="920"/>
      <c r="S303" s="485"/>
      <c r="U303" s="130"/>
      <c r="V303" s="129"/>
      <c r="W303" s="129"/>
      <c r="X303" s="129"/>
      <c r="Y303" s="129"/>
      <c r="Z303" s="129"/>
      <c r="AA303" s="129"/>
      <c r="AB303" s="129"/>
      <c r="AC303" s="129"/>
      <c r="AD303" s="129"/>
      <c r="AE303" s="915"/>
      <c r="AF303" s="312"/>
    </row>
    <row r="304" spans="1:32" s="53" customFormat="1" ht="12.75" customHeight="1" x14ac:dyDescent="0.25">
      <c r="A304" s="129"/>
      <c r="D304" s="80"/>
      <c r="E304" s="80"/>
      <c r="F304" s="80"/>
      <c r="G304" s="80"/>
      <c r="H304" s="80"/>
      <c r="I304" s="80"/>
      <c r="J304" s="80"/>
      <c r="K304" s="80"/>
      <c r="L304" s="80"/>
      <c r="M304" s="80"/>
      <c r="N304" s="68"/>
      <c r="R304" s="920"/>
      <c r="S304" s="809"/>
      <c r="U304" s="130"/>
      <c r="V304" s="129"/>
      <c r="W304" s="129"/>
      <c r="X304" s="129"/>
      <c r="Y304" s="129"/>
      <c r="Z304" s="129"/>
      <c r="AA304" s="129"/>
      <c r="AB304" s="129"/>
      <c r="AC304" s="129"/>
      <c r="AD304" s="129"/>
      <c r="AE304" s="915"/>
      <c r="AF304" s="312"/>
    </row>
    <row r="305" spans="1:32" s="53" customFormat="1" ht="5.0999999999999996" customHeight="1" x14ac:dyDescent="0.25">
      <c r="A305" s="129"/>
      <c r="B305" s="356"/>
      <c r="C305" s="356"/>
      <c r="D305" s="357"/>
      <c r="E305" s="358"/>
      <c r="F305" s="358"/>
      <c r="G305" s="358"/>
      <c r="H305" s="358"/>
      <c r="I305" s="358"/>
      <c r="J305" s="358"/>
      <c r="K305" s="358"/>
      <c r="L305" s="358"/>
      <c r="M305" s="358"/>
      <c r="N305" s="358"/>
      <c r="O305" s="358"/>
      <c r="P305" s="358"/>
      <c r="Q305" s="358"/>
      <c r="R305" s="358"/>
      <c r="S305" s="357"/>
      <c r="U305" s="130"/>
      <c r="V305" s="129"/>
      <c r="W305" s="129"/>
      <c r="X305" s="129"/>
      <c r="Y305" s="129"/>
      <c r="Z305" s="129"/>
      <c r="AA305" s="129"/>
      <c r="AB305" s="129"/>
      <c r="AC305" s="129"/>
      <c r="AD305" s="129"/>
      <c r="AE305" s="915"/>
      <c r="AF305" s="312"/>
    </row>
    <row r="306" spans="1:32" s="53" customFormat="1" ht="25.5" customHeight="1" x14ac:dyDescent="0.25">
      <c r="A306" s="129"/>
      <c r="B306" s="356"/>
      <c r="C306" s="60" t="s">
        <v>35</v>
      </c>
      <c r="D306" s="1065" t="str">
        <f>Translations!$B$1141</f>
        <v>Percentage of international (CORSIA) flights for which data gaps occurred (rounded to nearest 0.1%)</v>
      </c>
      <c r="E306" s="963"/>
      <c r="F306" s="963"/>
      <c r="G306" s="963"/>
      <c r="H306" s="963"/>
      <c r="I306" s="963"/>
      <c r="J306" s="963"/>
      <c r="K306" s="355"/>
      <c r="L306" s="313"/>
      <c r="M306" s="313"/>
      <c r="N306" s="807"/>
      <c r="O306" s="807"/>
      <c r="P306" s="807"/>
      <c r="Q306" s="807"/>
      <c r="R306" s="917"/>
      <c r="S306" s="357"/>
      <c r="U306" s="130"/>
      <c r="V306" s="129"/>
      <c r="W306" s="129"/>
      <c r="X306" s="129"/>
      <c r="Y306" s="129"/>
      <c r="Z306" s="129"/>
      <c r="AA306" s="129"/>
      <c r="AB306" s="129"/>
      <c r="AC306" s="129"/>
      <c r="AD306" s="129"/>
      <c r="AE306" s="915"/>
      <c r="AF306" s="312"/>
    </row>
    <row r="307" spans="1:32" s="53" customFormat="1" ht="26.1" customHeight="1" x14ac:dyDescent="0.25">
      <c r="A307" s="129"/>
      <c r="B307" s="356"/>
      <c r="D307" s="1119" t="str">
        <f>Translations!$B$1277</f>
        <v>Note: If unclear in the table above, whether data gaps apply to EU ETS, CH ETS, CORSIA, or more than one data set, please add relevant information in the table, e.g. by specifying it in the "type" column.</v>
      </c>
      <c r="E307" s="960"/>
      <c r="F307" s="960"/>
      <c r="G307" s="960"/>
      <c r="H307" s="960"/>
      <c r="I307" s="960"/>
      <c r="J307" s="960"/>
      <c r="K307" s="960"/>
      <c r="L307" s="313"/>
      <c r="M307" s="313"/>
      <c r="N307" s="807"/>
      <c r="O307" s="807"/>
      <c r="P307" s="807"/>
      <c r="Q307" s="807"/>
      <c r="R307" s="917"/>
      <c r="S307" s="357"/>
      <c r="U307" s="130"/>
      <c r="V307" s="129"/>
      <c r="W307" s="129"/>
      <c r="X307" s="129"/>
      <c r="Y307" s="129"/>
      <c r="Z307" s="129"/>
      <c r="AA307" s="129"/>
      <c r="AB307" s="129"/>
      <c r="AC307" s="129"/>
      <c r="AD307" s="129"/>
      <c r="AE307" s="915"/>
      <c r="AF307" s="312"/>
    </row>
    <row r="308" spans="1:32" s="53" customFormat="1" ht="5.0999999999999996" customHeight="1" x14ac:dyDescent="0.25">
      <c r="A308" s="129"/>
      <c r="B308" s="356"/>
      <c r="C308" s="356"/>
      <c r="D308" s="357"/>
      <c r="E308" s="358"/>
      <c r="F308" s="358"/>
      <c r="G308" s="358"/>
      <c r="H308" s="358"/>
      <c r="I308" s="358"/>
      <c r="J308" s="358"/>
      <c r="K308" s="358"/>
      <c r="L308" s="358"/>
      <c r="M308" s="358"/>
      <c r="N308" s="358"/>
      <c r="O308" s="358"/>
      <c r="P308" s="358"/>
      <c r="Q308" s="358"/>
      <c r="R308" s="358"/>
      <c r="S308" s="357"/>
      <c r="U308" s="130"/>
      <c r="V308" s="129"/>
      <c r="W308" s="129"/>
      <c r="X308" s="129"/>
      <c r="Y308" s="129"/>
      <c r="Z308" s="129"/>
      <c r="AA308" s="129"/>
      <c r="AB308" s="129"/>
      <c r="AC308" s="129"/>
      <c r="AD308" s="129"/>
      <c r="AE308" s="915"/>
      <c r="AF308" s="312"/>
    </row>
    <row r="309" spans="1:32" s="53" customFormat="1" ht="12.75" customHeight="1" x14ac:dyDescent="0.25">
      <c r="A309" s="129"/>
      <c r="D309" s="80"/>
      <c r="E309" s="80"/>
      <c r="F309" s="80"/>
      <c r="G309" s="80"/>
      <c r="H309" s="80"/>
      <c r="I309" s="80"/>
      <c r="J309" s="80"/>
      <c r="K309" s="80"/>
      <c r="L309" s="80"/>
      <c r="M309" s="80"/>
      <c r="N309" s="68"/>
      <c r="R309" s="920"/>
      <c r="U309" s="130"/>
      <c r="V309" s="129"/>
      <c r="W309" s="129"/>
      <c r="X309" s="129"/>
      <c r="Y309" s="129"/>
      <c r="Z309" s="129"/>
      <c r="AA309" s="129"/>
      <c r="AB309" s="129"/>
      <c r="AC309" s="129"/>
      <c r="AD309" s="129"/>
      <c r="AE309" s="915"/>
      <c r="AF309" s="312"/>
    </row>
    <row r="311" spans="1:32" x14ac:dyDescent="0.25">
      <c r="D311" s="1124" t="str">
        <f>Translations!$B$974</f>
        <v>&lt;&lt;&lt; Click here to proceed to section 8 "Detailed emission data" &gt;&gt;&gt;</v>
      </c>
      <c r="E311" s="1124"/>
      <c r="F311" s="1124"/>
      <c r="G311" s="1124"/>
      <c r="H311" s="1124"/>
    </row>
  </sheetData>
  <sheetProtection sheet="1" formatCells="0" formatColumns="0" formatRows="0" insertColumns="0" insertRows="0"/>
  <mergeCells count="382">
    <mergeCell ref="D129:Q129"/>
    <mergeCell ref="G117:I117"/>
    <mergeCell ref="G118:I118"/>
    <mergeCell ref="G125:I125"/>
    <mergeCell ref="H90:I90"/>
    <mergeCell ref="H91:I91"/>
    <mergeCell ref="H92:I92"/>
    <mergeCell ref="D288:E288"/>
    <mergeCell ref="D289:E289"/>
    <mergeCell ref="F288:H288"/>
    <mergeCell ref="F289:H289"/>
    <mergeCell ref="D254:Q254"/>
    <mergeCell ref="D255:Q255"/>
    <mergeCell ref="D256:Q256"/>
    <mergeCell ref="D263:Q263"/>
    <mergeCell ref="D276:Q276"/>
    <mergeCell ref="D277:Q277"/>
    <mergeCell ref="D278:Q278"/>
    <mergeCell ref="D279:Q279"/>
    <mergeCell ref="J267:K267"/>
    <mergeCell ref="J269:K269"/>
    <mergeCell ref="D265:J265"/>
    <mergeCell ref="D271:J271"/>
    <mergeCell ref="D272:K272"/>
    <mergeCell ref="I297:K297"/>
    <mergeCell ref="I298:K298"/>
    <mergeCell ref="I299:K299"/>
    <mergeCell ref="I300:K300"/>
    <mergeCell ref="L288:P288"/>
    <mergeCell ref="L289:P289"/>
    <mergeCell ref="L290:P290"/>
    <mergeCell ref="L291:P291"/>
    <mergeCell ref="L292:P292"/>
    <mergeCell ref="L293:P293"/>
    <mergeCell ref="L294:P294"/>
    <mergeCell ref="L295:P295"/>
    <mergeCell ref="L296:P296"/>
    <mergeCell ref="L297:P297"/>
    <mergeCell ref="L298:P298"/>
    <mergeCell ref="L299:P299"/>
    <mergeCell ref="L300:P300"/>
    <mergeCell ref="I288:K288"/>
    <mergeCell ref="I289:K289"/>
    <mergeCell ref="I290:K290"/>
    <mergeCell ref="I291:K291"/>
    <mergeCell ref="I292:K292"/>
    <mergeCell ref="F290:H290"/>
    <mergeCell ref="F291:H291"/>
    <mergeCell ref="F292:H292"/>
    <mergeCell ref="F293:H293"/>
    <mergeCell ref="F294:H294"/>
    <mergeCell ref="F295:H295"/>
    <mergeCell ref="F296:H296"/>
    <mergeCell ref="D280:Q280"/>
    <mergeCell ref="D281:Q281"/>
    <mergeCell ref="D282:E282"/>
    <mergeCell ref="D283:E283"/>
    <mergeCell ref="D284:E284"/>
    <mergeCell ref="D285:E285"/>
    <mergeCell ref="D286:E286"/>
    <mergeCell ref="F282:Q282"/>
    <mergeCell ref="F283:Q283"/>
    <mergeCell ref="F284:Q284"/>
    <mergeCell ref="F285:Q285"/>
    <mergeCell ref="F286:Q286"/>
    <mergeCell ref="J260:K260"/>
    <mergeCell ref="J258:K258"/>
    <mergeCell ref="J109:O109"/>
    <mergeCell ref="E86:F86"/>
    <mergeCell ref="E116:F116"/>
    <mergeCell ref="D60:Q60"/>
    <mergeCell ref="G109:I109"/>
    <mergeCell ref="J82:K82"/>
    <mergeCell ref="J83:K83"/>
    <mergeCell ref="J84:K84"/>
    <mergeCell ref="D106:Q106"/>
    <mergeCell ref="D107:Q107"/>
    <mergeCell ref="J110:O110"/>
    <mergeCell ref="J111:O111"/>
    <mergeCell ref="J112:O112"/>
    <mergeCell ref="J113:O113"/>
    <mergeCell ref="J114:O114"/>
    <mergeCell ref="J115:O115"/>
    <mergeCell ref="J116:O116"/>
    <mergeCell ref="J117:O117"/>
    <mergeCell ref="G123:I123"/>
    <mergeCell ref="G119:I119"/>
    <mergeCell ref="J118:O118"/>
    <mergeCell ref="J119:O119"/>
    <mergeCell ref="D54:Q54"/>
    <mergeCell ref="D55:Q55"/>
    <mergeCell ref="D57:E57"/>
    <mergeCell ref="D58:E58"/>
    <mergeCell ref="F57:Q57"/>
    <mergeCell ref="H87:I87"/>
    <mergeCell ref="H88:I88"/>
    <mergeCell ref="H89:I89"/>
    <mergeCell ref="D105:Q105"/>
    <mergeCell ref="G72:O72"/>
    <mergeCell ref="G73:O73"/>
    <mergeCell ref="G74:O74"/>
    <mergeCell ref="G75:O75"/>
    <mergeCell ref="D75:E75"/>
    <mergeCell ref="G76:O76"/>
    <mergeCell ref="G77:O77"/>
    <mergeCell ref="G78:O78"/>
    <mergeCell ref="G64:O64"/>
    <mergeCell ref="G65:O65"/>
    <mergeCell ref="G66:O66"/>
    <mergeCell ref="D80:Q80"/>
    <mergeCell ref="J97:K97"/>
    <mergeCell ref="J98:K98"/>
    <mergeCell ref="J99:K99"/>
    <mergeCell ref="J100:K100"/>
    <mergeCell ref="H82:I82"/>
    <mergeCell ref="H83:I83"/>
    <mergeCell ref="H84:I84"/>
    <mergeCell ref="H85:I85"/>
    <mergeCell ref="H86:I86"/>
    <mergeCell ref="E89:F89"/>
    <mergeCell ref="H93:I93"/>
    <mergeCell ref="H94:I94"/>
    <mergeCell ref="H95:I95"/>
    <mergeCell ref="H96:I96"/>
    <mergeCell ref="H97:I97"/>
    <mergeCell ref="J85:K85"/>
    <mergeCell ref="J86:K86"/>
    <mergeCell ref="J87:K87"/>
    <mergeCell ref="J88:K88"/>
    <mergeCell ref="J89:K89"/>
    <mergeCell ref="J90:K90"/>
    <mergeCell ref="J91:K91"/>
    <mergeCell ref="J92:K92"/>
    <mergeCell ref="J93:K93"/>
    <mergeCell ref="J94:K94"/>
    <mergeCell ref="J95:K95"/>
    <mergeCell ref="J96:K96"/>
    <mergeCell ref="D221:J221"/>
    <mergeCell ref="D250:I250"/>
    <mergeCell ref="D251:I251"/>
    <mergeCell ref="E190:F190"/>
    <mergeCell ref="E191:F191"/>
    <mergeCell ref="E192:F192"/>
    <mergeCell ref="E193:F193"/>
    <mergeCell ref="E194:F194"/>
    <mergeCell ref="E195:F195"/>
    <mergeCell ref="E196:F196"/>
    <mergeCell ref="E197:F197"/>
    <mergeCell ref="E198:F198"/>
    <mergeCell ref="D233:Q233"/>
    <mergeCell ref="D234:Q234"/>
    <mergeCell ref="D235:Q235"/>
    <mergeCell ref="D236:Q236"/>
    <mergeCell ref="D237:Q237"/>
    <mergeCell ref="D240:Q240"/>
    <mergeCell ref="D241:Q241"/>
    <mergeCell ref="E205:F205"/>
    <mergeCell ref="E204:F204"/>
    <mergeCell ref="D222:H222"/>
    <mergeCell ref="D136:E136"/>
    <mergeCell ref="E148:F148"/>
    <mergeCell ref="D134:E134"/>
    <mergeCell ref="D126:M126"/>
    <mergeCell ref="E123:F123"/>
    <mergeCell ref="E124:F124"/>
    <mergeCell ref="E117:F117"/>
    <mergeCell ref="D162:K162"/>
    <mergeCell ref="E161:F161"/>
    <mergeCell ref="J124:O124"/>
    <mergeCell ref="J125:O125"/>
    <mergeCell ref="J120:O120"/>
    <mergeCell ref="J121:O121"/>
    <mergeCell ref="J122:O122"/>
    <mergeCell ref="J123:O123"/>
    <mergeCell ref="D130:Q130"/>
    <mergeCell ref="D131:Q131"/>
    <mergeCell ref="D137:E137"/>
    <mergeCell ref="F137:Q137"/>
    <mergeCell ref="F132:Q132"/>
    <mergeCell ref="F133:Q133"/>
    <mergeCell ref="F134:Q134"/>
    <mergeCell ref="F135:Q135"/>
    <mergeCell ref="F136:Q136"/>
    <mergeCell ref="G121:I121"/>
    <mergeCell ref="G122:I122"/>
    <mergeCell ref="E50:G50"/>
    <mergeCell ref="D168:H168"/>
    <mergeCell ref="D77:E77"/>
    <mergeCell ref="D65:E65"/>
    <mergeCell ref="D66:E66"/>
    <mergeCell ref="D67:E67"/>
    <mergeCell ref="E96:F96"/>
    <mergeCell ref="D78:E78"/>
    <mergeCell ref="E82:F82"/>
    <mergeCell ref="E87:F87"/>
    <mergeCell ref="E85:F85"/>
    <mergeCell ref="E84:F84"/>
    <mergeCell ref="E83:F83"/>
    <mergeCell ref="E92:F92"/>
    <mergeCell ref="E91:F91"/>
    <mergeCell ref="D102:K102"/>
    <mergeCell ref="E93:F93"/>
    <mergeCell ref="D128:M128"/>
    <mergeCell ref="D132:E132"/>
    <mergeCell ref="D133:E133"/>
    <mergeCell ref="E119:F119"/>
    <mergeCell ref="E120:F120"/>
    <mergeCell ref="H98:I98"/>
    <mergeCell ref="H99:I99"/>
    <mergeCell ref="H100:I100"/>
    <mergeCell ref="E114:F114"/>
    <mergeCell ref="E115:F115"/>
    <mergeCell ref="G120:I120"/>
    <mergeCell ref="E118:F118"/>
    <mergeCell ref="E97:F97"/>
    <mergeCell ref="E98:F98"/>
    <mergeCell ref="E99:F99"/>
    <mergeCell ref="E100:F100"/>
    <mergeCell ref="E110:F110"/>
    <mergeCell ref="E111:F111"/>
    <mergeCell ref="E109:F109"/>
    <mergeCell ref="G116:I116"/>
    <mergeCell ref="G110:I110"/>
    <mergeCell ref="G111:I111"/>
    <mergeCell ref="G112:I112"/>
    <mergeCell ref="G113:I113"/>
    <mergeCell ref="G114:I114"/>
    <mergeCell ref="G115:I115"/>
    <mergeCell ref="G124:I124"/>
    <mergeCell ref="C3:K3"/>
    <mergeCell ref="D7:H7"/>
    <mergeCell ref="D9:H9"/>
    <mergeCell ref="D11:K11"/>
    <mergeCell ref="D6:Q6"/>
    <mergeCell ref="D20:Q20"/>
    <mergeCell ref="D62:E62"/>
    <mergeCell ref="I7:M7"/>
    <mergeCell ref="I9:M9"/>
    <mergeCell ref="I12:M12"/>
    <mergeCell ref="D15:M15"/>
    <mergeCell ref="D16:M16"/>
    <mergeCell ref="D17:M17"/>
    <mergeCell ref="L22:M22"/>
    <mergeCell ref="L24:M24"/>
    <mergeCell ref="L26:M26"/>
    <mergeCell ref="D21:J21"/>
    <mergeCell ref="D14:M14"/>
    <mergeCell ref="E49:G49"/>
    <mergeCell ref="E48:G48"/>
    <mergeCell ref="E31:K31"/>
    <mergeCell ref="E122:F122"/>
    <mergeCell ref="E94:F94"/>
    <mergeCell ref="D64:E64"/>
    <mergeCell ref="D70:E70"/>
    <mergeCell ref="D71:E71"/>
    <mergeCell ref="D72:E72"/>
    <mergeCell ref="D73:E73"/>
    <mergeCell ref="E88:F88"/>
    <mergeCell ref="E90:F90"/>
    <mergeCell ref="E206:F206"/>
    <mergeCell ref="E207:F207"/>
    <mergeCell ref="E157:F157"/>
    <mergeCell ref="E158:F158"/>
    <mergeCell ref="E160:F160"/>
    <mergeCell ref="E181:F181"/>
    <mergeCell ref="E112:F112"/>
    <mergeCell ref="E113:F113"/>
    <mergeCell ref="E121:F121"/>
    <mergeCell ref="D178:K178"/>
    <mergeCell ref="E144:F144"/>
    <mergeCell ref="E202:F202"/>
    <mergeCell ref="E203:F203"/>
    <mergeCell ref="E149:F149"/>
    <mergeCell ref="E150:F150"/>
    <mergeCell ref="E159:F159"/>
    <mergeCell ref="D135:E135"/>
    <mergeCell ref="D22:J22"/>
    <mergeCell ref="D24:J24"/>
    <mergeCell ref="D26:J26"/>
    <mergeCell ref="E32:K32"/>
    <mergeCell ref="E33:K33"/>
    <mergeCell ref="D29:K29"/>
    <mergeCell ref="E30:K30"/>
    <mergeCell ref="E43:G43"/>
    <mergeCell ref="D63:E63"/>
    <mergeCell ref="G63:O63"/>
    <mergeCell ref="D34:K34"/>
    <mergeCell ref="F58:Q58"/>
    <mergeCell ref="E37:G37"/>
    <mergeCell ref="E38:G38"/>
    <mergeCell ref="E39:G39"/>
    <mergeCell ref="E40:G40"/>
    <mergeCell ref="E41:G41"/>
    <mergeCell ref="E42:G42"/>
    <mergeCell ref="E44:G44"/>
    <mergeCell ref="E45:G45"/>
    <mergeCell ref="E46:G46"/>
    <mergeCell ref="E47:G47"/>
    <mergeCell ref="D56:Q56"/>
    <mergeCell ref="D51:K51"/>
    <mergeCell ref="D311:H311"/>
    <mergeCell ref="D290:E290"/>
    <mergeCell ref="D291:E291"/>
    <mergeCell ref="D292:E292"/>
    <mergeCell ref="D307:K307"/>
    <mergeCell ref="D303:J303"/>
    <mergeCell ref="D301:K301"/>
    <mergeCell ref="D306:J306"/>
    <mergeCell ref="D293:E293"/>
    <mergeCell ref="D294:E294"/>
    <mergeCell ref="D295:E295"/>
    <mergeCell ref="D296:E296"/>
    <mergeCell ref="I295:K295"/>
    <mergeCell ref="I296:K296"/>
    <mergeCell ref="D297:E297"/>
    <mergeCell ref="D298:E298"/>
    <mergeCell ref="D299:E299"/>
    <mergeCell ref="D300:E300"/>
    <mergeCell ref="F297:H297"/>
    <mergeCell ref="F298:H298"/>
    <mergeCell ref="F299:H299"/>
    <mergeCell ref="F300:H300"/>
    <mergeCell ref="I293:K293"/>
    <mergeCell ref="I294:K294"/>
    <mergeCell ref="E151:F151"/>
    <mergeCell ref="E152:F152"/>
    <mergeCell ref="E182:F182"/>
    <mergeCell ref="E183:F183"/>
    <mergeCell ref="E184:F184"/>
    <mergeCell ref="E185:F185"/>
    <mergeCell ref="E186:F186"/>
    <mergeCell ref="E187:F187"/>
    <mergeCell ref="E188:F188"/>
    <mergeCell ref="D179:Q179"/>
    <mergeCell ref="J253:K253"/>
    <mergeCell ref="D165:K165"/>
    <mergeCell ref="D248:K248"/>
    <mergeCell ref="H246:K246"/>
    <mergeCell ref="D164:I164"/>
    <mergeCell ref="D167:J167"/>
    <mergeCell ref="E153:F153"/>
    <mergeCell ref="E154:F154"/>
    <mergeCell ref="E155:F155"/>
    <mergeCell ref="E156:F156"/>
    <mergeCell ref="E200:F200"/>
    <mergeCell ref="E210:F210"/>
    <mergeCell ref="E211:F211"/>
    <mergeCell ref="E212:F212"/>
    <mergeCell ref="E213:F213"/>
    <mergeCell ref="E214:F214"/>
    <mergeCell ref="E215:F215"/>
    <mergeCell ref="D216:K216"/>
    <mergeCell ref="D219:K219"/>
    <mergeCell ref="D249:Q249"/>
    <mergeCell ref="I238:K238"/>
    <mergeCell ref="E208:F208"/>
    <mergeCell ref="E209:F209"/>
    <mergeCell ref="D218:I218"/>
    <mergeCell ref="D5:R5"/>
    <mergeCell ref="D19:R19"/>
    <mergeCell ref="D232:R232"/>
    <mergeCell ref="D275:R275"/>
    <mergeCell ref="D139:Q139"/>
    <mergeCell ref="D140:Q140"/>
    <mergeCell ref="G67:O67"/>
    <mergeCell ref="G68:O68"/>
    <mergeCell ref="G69:O69"/>
    <mergeCell ref="G70:O70"/>
    <mergeCell ref="G71:O71"/>
    <mergeCell ref="D68:E68"/>
    <mergeCell ref="D69:E69"/>
    <mergeCell ref="E145:F145"/>
    <mergeCell ref="E147:F147"/>
    <mergeCell ref="E142:F142"/>
    <mergeCell ref="E143:F143"/>
    <mergeCell ref="E146:F146"/>
    <mergeCell ref="E95:F95"/>
    <mergeCell ref="D74:E74"/>
    <mergeCell ref="D76:E76"/>
    <mergeCell ref="E125:F125"/>
    <mergeCell ref="E189:F189"/>
    <mergeCell ref="E199:F199"/>
  </mergeCells>
  <conditionalFormatting sqref="C54:R174">
    <cfRule type="expression" dxfId="67" priority="2">
      <formula>CONTR_onlyCORSIA=TRUE</formula>
    </cfRule>
  </conditionalFormatting>
  <conditionalFormatting sqref="C177:R228">
    <cfRule type="expression" dxfId="66" priority="7">
      <formula>CONTR_onlyCORSIA=TRUE</formula>
    </cfRule>
  </conditionalFormatting>
  <conditionalFormatting sqref="C263:R272 C306:R307">
    <cfRule type="expression" dxfId="65" priority="15">
      <formula>CONTR_CORSIAapplied=FALSE</formula>
    </cfRule>
  </conditionalFormatting>
  <conditionalFormatting sqref="D260">
    <cfRule type="expression" dxfId="64" priority="20">
      <formula>$U$258=TRUE</formula>
    </cfRule>
  </conditionalFormatting>
  <conditionalFormatting sqref="D267 D269">
    <cfRule type="expression" dxfId="63" priority="16">
      <formula>$U$265=TRUE</formula>
    </cfRule>
  </conditionalFormatting>
  <conditionalFormatting sqref="D269">
    <cfRule type="expression" dxfId="62" priority="19">
      <formula>$U$267=TRUE</formula>
    </cfRule>
  </conditionalFormatting>
  <conditionalFormatting sqref="D14:M14">
    <cfRule type="expression" dxfId="61" priority="24">
      <formula>($U$12=TRUE)</formula>
    </cfRule>
  </conditionalFormatting>
  <conditionalFormatting sqref="D15:M17">
    <cfRule type="expression" dxfId="60" priority="25">
      <formula>($U$12=TRUE)</formula>
    </cfRule>
  </conditionalFormatting>
  <conditionalFormatting sqref="D20:R26 C233:R260 C276:R303">
    <cfRule type="expression" dxfId="59" priority="14">
      <formula>CONTR_onlyCORSIA=TRUE</formula>
    </cfRule>
  </conditionalFormatting>
  <conditionalFormatting sqref="D56:R56">
    <cfRule type="expression" dxfId="58" priority="13">
      <formula>CONTR_onlyCORSIA=TRUE</formula>
    </cfRule>
  </conditionalFormatting>
  <conditionalFormatting sqref="D240:R241 D248:K248 D250:K251 D253 D254:R256 D258 D260">
    <cfRule type="expression" dxfId="57" priority="22">
      <formula>(CNTR_simplified_grey=TRUE)</formula>
    </cfRule>
  </conditionalFormatting>
  <conditionalFormatting sqref="D249:R249">
    <cfRule type="expression" dxfId="56" priority="12">
      <formula>CONTR_onlyCORSIA=TRUE</formula>
    </cfRule>
  </conditionalFormatting>
  <conditionalFormatting sqref="D263:R263 D265:J265 D267 D269">
    <cfRule type="expression" dxfId="55" priority="11">
      <formula>CONTR_CORSIAapplied=FALSE</formula>
    </cfRule>
  </conditionalFormatting>
  <conditionalFormatting sqref="G243:G245 J250:J251 J258:K258 J260:K260">
    <cfRule type="expression" dxfId="54" priority="23">
      <formula>(CNTR_simplified_grey=TRUE)</formula>
    </cfRule>
  </conditionalFormatting>
  <conditionalFormatting sqref="J260:K260">
    <cfRule type="expression" dxfId="53" priority="21">
      <formula>$U$258=TRUE</formula>
    </cfRule>
  </conditionalFormatting>
  <conditionalFormatting sqref="J267:K267 J269:K269 K271">
    <cfRule type="expression" dxfId="52" priority="17">
      <formula>$U$265=TRUE</formula>
    </cfRule>
  </conditionalFormatting>
  <conditionalFormatting sqref="J269:K269">
    <cfRule type="expression" dxfId="51" priority="18">
      <formula>$U$267=TRUE</formula>
    </cfRule>
  </conditionalFormatting>
  <conditionalFormatting sqref="K265 J267:K267 J269:K269">
    <cfRule type="expression" dxfId="50" priority="10">
      <formula>CONTR_CORSIAapplied=FALSE</formula>
    </cfRule>
  </conditionalFormatting>
  <conditionalFormatting sqref="R146:R160">
    <cfRule type="expression" dxfId="49" priority="1">
      <formula>ABS(SUM($I146)-SUM($R146))&gt;=0.1</formula>
    </cfRule>
  </conditionalFormatting>
  <dataValidations count="7">
    <dataValidation type="list" allowBlank="1" showInputMessage="1" showErrorMessage="1" sqref="K271 I12:K12 I238:K238 K265" xr:uid="{00000000-0002-0000-0300-000000000000}">
      <formula1>TrueFalse</formula1>
    </dataValidation>
    <dataValidation type="list" allowBlank="1" showInputMessage="1" showErrorMessage="1" sqref="J258:K258 J267:K267" xr:uid="{00000000-0002-0000-0300-000001000000}">
      <formula1>CommissionApprovedTools</formula1>
    </dataValidation>
    <dataValidation type="list" allowBlank="1" showInputMessage="1" showErrorMessage="1" sqref="H86:H100" xr:uid="{00000000-0002-0000-0300-000002000000}">
      <formula1>CNST_AltMainFuels</formula1>
    </dataValidation>
    <dataValidation type="list" allowBlank="1" showInputMessage="1" showErrorMessage="1" sqref="G86:G100" xr:uid="{00000000-0002-0000-0300-000003000000}">
      <formula1>CNST_MainFuelTypes</formula1>
    </dataValidation>
    <dataValidation type="list" allowBlank="1" showInputMessage="1" showErrorMessage="1" sqref="J86:J98" xr:uid="{00000000-0002-0000-0300-000004000000}">
      <formula1>INDIRECT(INDEX(List_AltFuels,MATCH(H86,AltFuels,0)))</formula1>
    </dataValidation>
    <dataValidation type="list" allowBlank="1" showInputMessage="1" showErrorMessage="1" sqref="N99:N100" xr:uid="{00000000-0002-0000-0300-000005000000}">
      <formula1>YesNo</formula1>
    </dataValidation>
    <dataValidation type="list" allowBlank="1" showInputMessage="1" showErrorMessage="1" sqref="O99:O100" xr:uid="{00000000-0002-0000-0300-000006000000}">
      <formula1>CNST_EligibilityLevels</formula1>
    </dataValidation>
  </dataValidations>
  <hyperlinks>
    <hyperlink ref="D311:H311" location="'Emissions Data'!A1" display="&lt;&lt;&lt; Click here to proceed to section 9 &quot;Detailed emission data&quot; &gt;&gt;&gt;" xr:uid="{00000000-0004-0000-0300-000000000000}"/>
    <hyperlink ref="D131:Q131" location="JUMP_10a" display="In order to first fill section 10a, please click here for going to sheet &quot;Annex Aerodromes&quot;." xr:uid="{00000000-0004-0000-0300-000001000000}"/>
    <hyperlink ref="R142" location="JUMP_10a" display="Attributed quantity in section 10a" xr:uid="{00000000-0004-0000-0300-000002000000}"/>
  </hyperlinks>
  <pageMargins left="0.78740157480314965" right="0.78740157480314965" top="0.78740157480314965" bottom="0.78740157480314965" header="0.39370078740157483" footer="0.39370078740157483"/>
  <pageSetup paperSize="9" scale="76" fitToHeight="4" orientation="portrait" r:id="rId1"/>
  <headerFooter alignWithMargins="0">
    <oddFooter>&amp;L&amp;F&amp;C&amp;A&amp;R&amp;P / &amp;N</oddFooter>
  </headerFooter>
  <rowBreaks count="1" manualBreakCount="1">
    <brk id="231" min="1"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2:AD197"/>
  <sheetViews>
    <sheetView showGridLines="0" topLeftCell="A3" zoomScale="115" zoomScaleNormal="115" zoomScaleSheetLayoutView="100" workbookViewId="0">
      <selection activeCell="H71" sqref="H71"/>
    </sheetView>
  </sheetViews>
  <sheetFormatPr defaultColWidth="11.44140625" defaultRowHeight="13.2" outlineLevelCol="1" x14ac:dyDescent="0.25"/>
  <cols>
    <col min="1" max="1" width="3.109375" style="68" customWidth="1"/>
    <col min="2" max="2" width="5.44140625" style="68" customWidth="1"/>
    <col min="3" max="4" width="16.5546875" style="68" customWidth="1"/>
    <col min="5" max="7" width="12.5546875" style="68" customWidth="1"/>
    <col min="8" max="10" width="12.5546875" style="68" customWidth="1" outlineLevel="1"/>
    <col min="11" max="22" width="12.5546875" style="68" hidden="1" customWidth="1" outlineLevel="1"/>
    <col min="23" max="25" width="12.5546875" style="68" customWidth="1"/>
    <col min="26" max="26" width="11.44140625" style="68"/>
    <col min="27" max="28" width="3.109375" style="68" customWidth="1"/>
    <col min="29" max="29" width="11.44140625" style="68" customWidth="1"/>
    <col min="30" max="16384" width="11.44140625" style="68"/>
  </cols>
  <sheetData>
    <row r="2" spans="2:30" ht="23.25" customHeight="1" x14ac:dyDescent="0.25">
      <c r="B2" s="144" t="str">
        <f>Translations!$B$1143</f>
        <v>EMISSION DATA PER COUNTRY AND FUEL – EU ETS</v>
      </c>
      <c r="C2" s="144"/>
      <c r="D2" s="144"/>
      <c r="E2" s="144"/>
      <c r="F2" s="144"/>
      <c r="G2" s="144"/>
      <c r="H2" s="144"/>
      <c r="I2" s="144"/>
      <c r="J2" s="144"/>
      <c r="K2" s="144"/>
      <c r="L2" s="144"/>
      <c r="M2" s="144"/>
      <c r="N2" s="144"/>
      <c r="O2" s="144"/>
      <c r="P2" s="144"/>
      <c r="Q2" s="144"/>
      <c r="R2" s="144"/>
      <c r="S2" s="144"/>
      <c r="T2" s="144"/>
      <c r="U2" s="144"/>
      <c r="V2" s="144"/>
    </row>
    <row r="4" spans="2:30" ht="15.6" x14ac:dyDescent="0.25">
      <c r="B4" s="167" t="s">
        <v>0</v>
      </c>
      <c r="C4" s="79" t="str">
        <f>Translations!$B$1039</f>
        <v>Detailed emissions data – EU ETS</v>
      </c>
      <c r="D4" s="79"/>
      <c r="E4" s="79"/>
      <c r="F4" s="79"/>
      <c r="G4" s="79"/>
      <c r="H4" s="79"/>
      <c r="I4" s="79"/>
      <c r="J4" s="79"/>
      <c r="K4" s="79"/>
      <c r="L4" s="79"/>
      <c r="M4" s="79"/>
      <c r="N4" s="79"/>
      <c r="O4" s="79"/>
      <c r="P4" s="79"/>
      <c r="Q4" s="79"/>
      <c r="R4" s="79"/>
      <c r="S4" s="79"/>
      <c r="T4" s="79"/>
      <c r="U4" s="79"/>
      <c r="V4" s="79"/>
      <c r="W4" s="79"/>
      <c r="X4" s="79"/>
      <c r="Y4" s="79"/>
      <c r="Z4" s="79"/>
      <c r="AA4" s="79"/>
      <c r="AC4" s="914" t="s">
        <v>1963</v>
      </c>
    </row>
    <row r="5" spans="2:30" x14ac:dyDescent="0.25">
      <c r="AC5" s="914" t="s">
        <v>1964</v>
      </c>
    </row>
    <row r="6" spans="2:30" ht="26.4" customHeight="1" x14ac:dyDescent="0.25">
      <c r="B6" s="60" t="s">
        <v>33</v>
      </c>
      <c r="C6" s="1104" t="s">
        <v>2087</v>
      </c>
      <c r="D6" s="1066"/>
      <c r="E6" s="1066"/>
      <c r="F6" s="1066"/>
      <c r="G6" s="1066"/>
      <c r="H6" s="1066"/>
      <c r="I6" s="1066"/>
      <c r="J6" s="1066"/>
      <c r="K6" s="1066"/>
      <c r="L6" s="1066"/>
      <c r="M6" s="1066"/>
      <c r="N6" s="1066"/>
      <c r="O6" s="1066"/>
      <c r="P6" s="1066"/>
      <c r="Q6" s="1066"/>
      <c r="R6" s="1066"/>
      <c r="S6" s="1066"/>
      <c r="T6" s="1066"/>
      <c r="U6" s="1066"/>
      <c r="V6" s="1066"/>
      <c r="W6" s="1066"/>
      <c r="X6" s="1066"/>
      <c r="Y6" s="1066"/>
      <c r="Z6" s="960"/>
      <c r="AA6" s="313"/>
      <c r="AC6" s="914"/>
      <c r="AD6" s="312" t="s">
        <v>2088</v>
      </c>
    </row>
    <row r="7" spans="2:30" ht="52.95" customHeight="1" x14ac:dyDescent="0.25">
      <c r="B7" s="60"/>
      <c r="C7" s="1104" t="s">
        <v>1916</v>
      </c>
      <c r="D7" s="1066"/>
      <c r="E7" s="1066"/>
      <c r="F7" s="1066"/>
      <c r="G7" s="1066"/>
      <c r="H7" s="1066"/>
      <c r="I7" s="1066"/>
      <c r="J7" s="1066"/>
      <c r="K7" s="1066"/>
      <c r="L7" s="1066"/>
      <c r="M7" s="1066"/>
      <c r="N7" s="1066"/>
      <c r="O7" s="1066"/>
      <c r="P7" s="1066"/>
      <c r="Q7" s="1066"/>
      <c r="R7" s="1066"/>
      <c r="S7" s="1066"/>
      <c r="T7" s="1066"/>
      <c r="U7" s="1066"/>
      <c r="V7" s="1066"/>
      <c r="W7" s="1066"/>
      <c r="X7" s="1066"/>
      <c r="Y7" s="1066"/>
      <c r="Z7" s="960"/>
      <c r="AA7" s="313"/>
      <c r="AC7" s="914" t="s">
        <v>201</v>
      </c>
    </row>
    <row r="8" spans="2:30" ht="13.2" customHeight="1" x14ac:dyDescent="0.25">
      <c r="B8" s="60"/>
      <c r="C8" s="1229" t="s">
        <v>1915</v>
      </c>
      <c r="D8" s="1230"/>
      <c r="E8" s="1230"/>
      <c r="F8" s="1230"/>
      <c r="G8" s="1230"/>
      <c r="H8" s="1230"/>
      <c r="I8" s="1230"/>
      <c r="J8" s="1230"/>
      <c r="K8" s="1230"/>
      <c r="L8" s="1230"/>
      <c r="M8" s="1230"/>
      <c r="N8" s="1230"/>
      <c r="O8" s="1230"/>
      <c r="P8" s="1230"/>
      <c r="Q8" s="1230"/>
      <c r="R8" s="1230"/>
      <c r="S8" s="1230"/>
      <c r="T8" s="1230"/>
      <c r="U8" s="1230"/>
      <c r="V8" s="1230"/>
      <c r="W8" s="1230"/>
      <c r="X8" s="1230"/>
      <c r="Y8" s="1230"/>
      <c r="Z8" s="1231"/>
      <c r="AA8" s="313"/>
      <c r="AC8" s="914" t="s">
        <v>11</v>
      </c>
    </row>
    <row r="9" spans="2:30" ht="26.4" customHeight="1" x14ac:dyDescent="0.25">
      <c r="B9" s="60"/>
      <c r="C9" s="1225" t="s">
        <v>1961</v>
      </c>
      <c r="D9" s="1225"/>
      <c r="E9" s="1225"/>
      <c r="F9" s="1225"/>
      <c r="G9" s="1225"/>
      <c r="H9" s="1225"/>
      <c r="I9" s="1225"/>
      <c r="J9" s="1225"/>
      <c r="K9" s="1225"/>
      <c r="L9" s="1225"/>
      <c r="M9" s="1225"/>
      <c r="N9" s="1225"/>
      <c r="O9" s="1225"/>
      <c r="P9" s="1225"/>
      <c r="Q9" s="1225"/>
      <c r="R9" s="1225"/>
      <c r="S9" s="1225"/>
      <c r="T9" s="1225"/>
      <c r="U9" s="1225"/>
      <c r="V9" s="1225"/>
      <c r="W9" s="1225"/>
      <c r="X9" s="1225"/>
      <c r="Y9" s="1225"/>
      <c r="Z9" s="1226"/>
      <c r="AA9" s="822"/>
      <c r="AC9" s="914" t="s">
        <v>11</v>
      </c>
    </row>
    <row r="10" spans="2:30" ht="4.95" customHeight="1" thickBot="1" x14ac:dyDescent="0.3">
      <c r="AC10" s="914"/>
    </row>
    <row r="11" spans="2:30" x14ac:dyDescent="0.25">
      <c r="C11" s="145"/>
      <c r="D11" s="146"/>
      <c r="E11" s="1221" t="s">
        <v>202</v>
      </c>
      <c r="F11" s="1222"/>
      <c r="G11" s="1222"/>
      <c r="H11" s="1222"/>
      <c r="I11" s="1222"/>
      <c r="J11" s="1222"/>
      <c r="K11" s="1222"/>
      <c r="L11" s="1222"/>
      <c r="M11" s="1222"/>
      <c r="N11" s="1222"/>
      <c r="O11" s="1222"/>
      <c r="P11" s="1222"/>
      <c r="Q11" s="1222"/>
      <c r="R11" s="1222"/>
      <c r="S11" s="1222"/>
      <c r="T11" s="1222"/>
      <c r="U11" s="1222"/>
      <c r="V11" s="1222"/>
      <c r="W11" s="1232" t="s">
        <v>203</v>
      </c>
      <c r="X11" s="1232" t="s">
        <v>204</v>
      </c>
      <c r="Y11" s="1232" t="s">
        <v>205</v>
      </c>
      <c r="Z11" s="1223" t="str">
        <f>Translations!$B$1026</f>
        <v>Total number of flights</v>
      </c>
      <c r="AA11" s="600"/>
      <c r="AB11" s="147"/>
      <c r="AC11" s="914" t="s">
        <v>206</v>
      </c>
    </row>
    <row r="12" spans="2:30" ht="31.2" thickBot="1" x14ac:dyDescent="0.3">
      <c r="C12" s="662"/>
      <c r="D12" s="663"/>
      <c r="E12" s="664" t="str">
        <f>Translations!$B$981</f>
        <v>Jet kerosene (jet A1 or 
jet A)</v>
      </c>
      <c r="F12" s="664" t="str">
        <f>Translations!$B$274</f>
        <v>Jet gasoline (Jet B)</v>
      </c>
      <c r="G12" s="664" t="str">
        <f>Translations!$B$275</f>
        <v>Aviation gasoline (AvGas)</v>
      </c>
      <c r="H12" s="665" t="str">
        <f t="shared" ref="H12:V12" si="0">H$193</f>
        <v>4. HEFA</v>
      </c>
      <c r="I12" s="665" t="str">
        <f t="shared" si="0"/>
        <v>5. RFNBO EDDF</v>
      </c>
      <c r="J12" s="665" t="str">
        <f t="shared" si="0"/>
        <v>6. ATJ</v>
      </c>
      <c r="K12" s="665" t="str">
        <f t="shared" si="0"/>
        <v>Fuel 7</v>
      </c>
      <c r="L12" s="665" t="str">
        <f t="shared" si="0"/>
        <v>Fuel 8</v>
      </c>
      <c r="M12" s="665" t="str">
        <f t="shared" si="0"/>
        <v>Fuel 9</v>
      </c>
      <c r="N12" s="665" t="str">
        <f t="shared" si="0"/>
        <v>Fuel 10</v>
      </c>
      <c r="O12" s="665" t="str">
        <f t="shared" si="0"/>
        <v>Fuel 11</v>
      </c>
      <c r="P12" s="665" t="str">
        <f t="shared" si="0"/>
        <v>Fuel 12</v>
      </c>
      <c r="Q12" s="665" t="str">
        <f t="shared" si="0"/>
        <v>Fuel 13</v>
      </c>
      <c r="R12" s="665" t="str">
        <f t="shared" si="0"/>
        <v>Fuel 14</v>
      </c>
      <c r="S12" s="665" t="str">
        <f t="shared" si="0"/>
        <v>Fuel 15</v>
      </c>
      <c r="T12" s="665" t="str">
        <f t="shared" si="0"/>
        <v>Fuel 16</v>
      </c>
      <c r="U12" s="665" t="str">
        <f t="shared" si="0"/>
        <v>Fuel 17</v>
      </c>
      <c r="V12" s="665" t="str">
        <f t="shared" si="0"/>
        <v>Fuel 18</v>
      </c>
      <c r="W12" s="1235"/>
      <c r="X12" s="1235"/>
      <c r="Y12" s="1235"/>
      <c r="Z12" s="1236"/>
      <c r="AA12" s="284"/>
      <c r="AB12" s="147"/>
      <c r="AC12" s="914"/>
    </row>
    <row r="13" spans="2:30" ht="39.9" customHeight="1" x14ac:dyDescent="0.25">
      <c r="B13" s="125" t="s">
        <v>207</v>
      </c>
      <c r="C13" s="1240" t="str">
        <f>Translations!$B$984</f>
        <v>Total aggregated CO2 emissions from all flights relating to the reduced scope of the EU ETS Directive (= B + C)</v>
      </c>
      <c r="D13" s="1241"/>
      <c r="E13" s="672">
        <f>SUM(E14,E15)</f>
        <v>20100</v>
      </c>
      <c r="F13" s="672">
        <f t="shared" ref="F13:V13" si="1">SUM(F14,F15)</f>
        <v>0</v>
      </c>
      <c r="G13" s="672">
        <f t="shared" si="1"/>
        <v>0</v>
      </c>
      <c r="H13" s="672">
        <f t="shared" si="1"/>
        <v>90</v>
      </c>
      <c r="I13" s="672">
        <f t="shared" si="1"/>
        <v>5</v>
      </c>
      <c r="J13" s="672">
        <f t="shared" si="1"/>
        <v>2</v>
      </c>
      <c r="K13" s="672">
        <f t="shared" si="1"/>
        <v>0</v>
      </c>
      <c r="L13" s="672">
        <f t="shared" si="1"/>
        <v>0</v>
      </c>
      <c r="M13" s="672">
        <f t="shared" si="1"/>
        <v>0</v>
      </c>
      <c r="N13" s="672">
        <f t="shared" si="1"/>
        <v>0</v>
      </c>
      <c r="O13" s="672">
        <f t="shared" si="1"/>
        <v>0</v>
      </c>
      <c r="P13" s="672">
        <f t="shared" si="1"/>
        <v>0</v>
      </c>
      <c r="Q13" s="672">
        <f t="shared" si="1"/>
        <v>0</v>
      </c>
      <c r="R13" s="672">
        <f t="shared" si="1"/>
        <v>0</v>
      </c>
      <c r="S13" s="672">
        <f t="shared" si="1"/>
        <v>0</v>
      </c>
      <c r="T13" s="672">
        <f t="shared" si="1"/>
        <v>0</v>
      </c>
      <c r="U13" s="672">
        <f t="shared" si="1"/>
        <v>0</v>
      </c>
      <c r="V13" s="672">
        <f t="shared" si="1"/>
        <v>0</v>
      </c>
      <c r="W13" s="666">
        <f t="shared" ref="W13" si="2">SUM(W14,W15)</f>
        <v>63522.32</v>
      </c>
      <c r="X13" s="666">
        <f t="shared" ref="X13" si="3">SUM(X14,X15)</f>
        <v>300.19999999999914</v>
      </c>
      <c r="Y13" s="666">
        <f t="shared" ref="Y13" si="4">SUM(Y14,Y15)</f>
        <v>63822.52</v>
      </c>
      <c r="Z13" s="667">
        <f t="shared" ref="Z13" si="5">SUM(Z14,Z15)</f>
        <v>0</v>
      </c>
      <c r="AA13" s="313"/>
      <c r="AB13" s="147"/>
    </row>
    <row r="14" spans="2:30" ht="39.9" customHeight="1" x14ac:dyDescent="0.25">
      <c r="B14" s="125" t="s">
        <v>208</v>
      </c>
      <c r="C14" s="1237" t="str">
        <f>Translations!$B$985</f>
        <v>of which departure MS is the same as arrival MS (domestic flights, =sum of section (b))</v>
      </c>
      <c r="D14" s="1228"/>
      <c r="E14" s="673">
        <f>SUM(E58)</f>
        <v>0</v>
      </c>
      <c r="F14" s="673">
        <f t="shared" ref="F14:V14" si="6">SUM(F58)</f>
        <v>0</v>
      </c>
      <c r="G14" s="673">
        <f t="shared" si="6"/>
        <v>0</v>
      </c>
      <c r="H14" s="673">
        <f t="shared" si="6"/>
        <v>0</v>
      </c>
      <c r="I14" s="673">
        <f t="shared" si="6"/>
        <v>0</v>
      </c>
      <c r="J14" s="673">
        <f t="shared" si="6"/>
        <v>0</v>
      </c>
      <c r="K14" s="673">
        <f t="shared" si="6"/>
        <v>0</v>
      </c>
      <c r="L14" s="673">
        <f t="shared" si="6"/>
        <v>0</v>
      </c>
      <c r="M14" s="673">
        <f t="shared" si="6"/>
        <v>0</v>
      </c>
      <c r="N14" s="673">
        <f t="shared" si="6"/>
        <v>0</v>
      </c>
      <c r="O14" s="673">
        <f t="shared" si="6"/>
        <v>0</v>
      </c>
      <c r="P14" s="673">
        <f t="shared" si="6"/>
        <v>0</v>
      </c>
      <c r="Q14" s="673">
        <f t="shared" si="6"/>
        <v>0</v>
      </c>
      <c r="R14" s="673">
        <f t="shared" si="6"/>
        <v>0</v>
      </c>
      <c r="S14" s="673">
        <f t="shared" si="6"/>
        <v>0</v>
      </c>
      <c r="T14" s="673">
        <f t="shared" si="6"/>
        <v>0</v>
      </c>
      <c r="U14" s="673">
        <f t="shared" si="6"/>
        <v>0</v>
      </c>
      <c r="V14" s="673">
        <f t="shared" si="6"/>
        <v>0</v>
      </c>
      <c r="W14" s="669">
        <f t="shared" ref="W14:Z14" si="7">SUM(W58)</f>
        <v>0</v>
      </c>
      <c r="X14" s="669">
        <f t="shared" si="7"/>
        <v>0</v>
      </c>
      <c r="Y14" s="669">
        <f t="shared" si="7"/>
        <v>0</v>
      </c>
      <c r="Z14" s="670">
        <f t="shared" si="7"/>
        <v>0</v>
      </c>
      <c r="AA14" s="313"/>
      <c r="AB14" s="147"/>
    </row>
    <row r="15" spans="2:30" ht="39.9" customHeight="1" x14ac:dyDescent="0.25">
      <c r="B15" s="125" t="s">
        <v>209</v>
      </c>
      <c r="C15" s="1237" t="str">
        <f>Translations!$B$1313</f>
        <v>of which all other intra EEA flights, and flights from EEA to Switzerland or UK</v>
      </c>
      <c r="D15" s="1228"/>
      <c r="E15" s="674">
        <f>SUM(E16,E17)</f>
        <v>20100</v>
      </c>
      <c r="F15" s="674">
        <f t="shared" ref="F15:V15" si="8">SUM(F16,F17)</f>
        <v>0</v>
      </c>
      <c r="G15" s="674">
        <f t="shared" si="8"/>
        <v>0</v>
      </c>
      <c r="H15" s="674">
        <f t="shared" si="8"/>
        <v>90</v>
      </c>
      <c r="I15" s="674">
        <f t="shared" si="8"/>
        <v>5</v>
      </c>
      <c r="J15" s="674">
        <f t="shared" si="8"/>
        <v>2</v>
      </c>
      <c r="K15" s="674">
        <f t="shared" si="8"/>
        <v>0</v>
      </c>
      <c r="L15" s="674">
        <f t="shared" si="8"/>
        <v>0</v>
      </c>
      <c r="M15" s="674">
        <f t="shared" si="8"/>
        <v>0</v>
      </c>
      <c r="N15" s="674">
        <f t="shared" si="8"/>
        <v>0</v>
      </c>
      <c r="O15" s="674">
        <f t="shared" si="8"/>
        <v>0</v>
      </c>
      <c r="P15" s="674">
        <f t="shared" si="8"/>
        <v>0</v>
      </c>
      <c r="Q15" s="674">
        <f t="shared" si="8"/>
        <v>0</v>
      </c>
      <c r="R15" s="674">
        <f t="shared" si="8"/>
        <v>0</v>
      </c>
      <c r="S15" s="674">
        <f t="shared" si="8"/>
        <v>0</v>
      </c>
      <c r="T15" s="674">
        <f t="shared" si="8"/>
        <v>0</v>
      </c>
      <c r="U15" s="674">
        <f t="shared" si="8"/>
        <v>0</v>
      </c>
      <c r="V15" s="674">
        <f t="shared" si="8"/>
        <v>0</v>
      </c>
      <c r="W15" s="669">
        <f t="shared" ref="W15" si="9">SUM(W16,W17)</f>
        <v>63522.32</v>
      </c>
      <c r="X15" s="669">
        <f t="shared" ref="X15" si="10">SUM(X16,X17)</f>
        <v>300.19999999999914</v>
      </c>
      <c r="Y15" s="669">
        <f t="shared" ref="Y15" si="11">SUM(Y16,Y17)</f>
        <v>63822.52</v>
      </c>
      <c r="Z15" s="671">
        <f t="shared" ref="Z15" si="12">SUM(Z16,Z17)</f>
        <v>0</v>
      </c>
      <c r="AA15" s="313"/>
      <c r="AB15" s="147"/>
    </row>
    <row r="16" spans="2:30" ht="54.75" customHeight="1" thickBot="1" x14ac:dyDescent="0.3">
      <c r="B16" s="125" t="s">
        <v>210</v>
      </c>
      <c r="C16" s="1238" t="str">
        <f>Translations!$B$1314</f>
        <v>emissions from all flights departing from a Member State to another Member State, Switzerland or UK (=sum of section 8(c))</v>
      </c>
      <c r="D16" s="1239"/>
      <c r="E16" s="674">
        <f>SUM(E91)</f>
        <v>20100</v>
      </c>
      <c r="F16" s="674">
        <f t="shared" ref="F16:V16" si="13">SUM(F91)</f>
        <v>0</v>
      </c>
      <c r="G16" s="674">
        <f t="shared" si="13"/>
        <v>0</v>
      </c>
      <c r="H16" s="674">
        <f t="shared" si="13"/>
        <v>90</v>
      </c>
      <c r="I16" s="674">
        <f t="shared" si="13"/>
        <v>5</v>
      </c>
      <c r="J16" s="674">
        <f t="shared" si="13"/>
        <v>2</v>
      </c>
      <c r="K16" s="674">
        <f t="shared" si="13"/>
        <v>0</v>
      </c>
      <c r="L16" s="674">
        <f t="shared" si="13"/>
        <v>0</v>
      </c>
      <c r="M16" s="674">
        <f t="shared" si="13"/>
        <v>0</v>
      </c>
      <c r="N16" s="674">
        <f t="shared" si="13"/>
        <v>0</v>
      </c>
      <c r="O16" s="674">
        <f t="shared" si="13"/>
        <v>0</v>
      </c>
      <c r="P16" s="674">
        <f t="shared" si="13"/>
        <v>0</v>
      </c>
      <c r="Q16" s="674">
        <f t="shared" si="13"/>
        <v>0</v>
      </c>
      <c r="R16" s="674">
        <f t="shared" si="13"/>
        <v>0</v>
      </c>
      <c r="S16" s="674">
        <f t="shared" si="13"/>
        <v>0</v>
      </c>
      <c r="T16" s="674">
        <f t="shared" si="13"/>
        <v>0</v>
      </c>
      <c r="U16" s="674">
        <f t="shared" si="13"/>
        <v>0</v>
      </c>
      <c r="V16" s="674">
        <f t="shared" si="13"/>
        <v>0</v>
      </c>
      <c r="W16" s="669">
        <f t="shared" ref="W16:Z16" si="14">SUM(W91)</f>
        <v>63522.32</v>
      </c>
      <c r="X16" s="669">
        <f t="shared" si="14"/>
        <v>300.19999999999914</v>
      </c>
      <c r="Y16" s="669">
        <f t="shared" si="14"/>
        <v>63822.52</v>
      </c>
      <c r="Z16" s="671">
        <f t="shared" si="14"/>
        <v>0</v>
      </c>
      <c r="AA16" s="313"/>
      <c r="AB16" s="147"/>
    </row>
    <row r="17" spans="1:29" ht="39.9" hidden="1" customHeight="1" thickBot="1" x14ac:dyDescent="0.3">
      <c r="A17" s="325"/>
      <c r="B17" s="125" t="s">
        <v>211</v>
      </c>
      <c r="C17" s="1238" t="str">
        <f>Translations!$B$988</f>
        <v>emissions from all flights arriving at a Member State from a third country (=sum of section (d))</v>
      </c>
      <c r="D17" s="1239"/>
      <c r="E17" s="851">
        <f>SUM(E123)</f>
        <v>0</v>
      </c>
      <c r="F17" s="851">
        <f t="shared" ref="F17:V17" si="15">SUM(F123)</f>
        <v>0</v>
      </c>
      <c r="G17" s="851">
        <f t="shared" si="15"/>
        <v>0</v>
      </c>
      <c r="H17" s="851">
        <f t="shared" si="15"/>
        <v>0</v>
      </c>
      <c r="I17" s="851">
        <f t="shared" si="15"/>
        <v>0</v>
      </c>
      <c r="J17" s="851">
        <f t="shared" si="15"/>
        <v>0</v>
      </c>
      <c r="K17" s="851">
        <f t="shared" si="15"/>
        <v>0</v>
      </c>
      <c r="L17" s="851">
        <f t="shared" si="15"/>
        <v>0</v>
      </c>
      <c r="M17" s="851">
        <f t="shared" si="15"/>
        <v>0</v>
      </c>
      <c r="N17" s="851">
        <f t="shared" si="15"/>
        <v>0</v>
      </c>
      <c r="O17" s="851">
        <f t="shared" si="15"/>
        <v>0</v>
      </c>
      <c r="P17" s="851">
        <f t="shared" si="15"/>
        <v>0</v>
      </c>
      <c r="Q17" s="851">
        <f t="shared" si="15"/>
        <v>0</v>
      </c>
      <c r="R17" s="851">
        <f t="shared" si="15"/>
        <v>0</v>
      </c>
      <c r="S17" s="851">
        <f t="shared" si="15"/>
        <v>0</v>
      </c>
      <c r="T17" s="851">
        <f t="shared" si="15"/>
        <v>0</v>
      </c>
      <c r="U17" s="851">
        <f t="shared" si="15"/>
        <v>0</v>
      </c>
      <c r="V17" s="851">
        <f t="shared" si="15"/>
        <v>0</v>
      </c>
      <c r="W17" s="852">
        <f t="shared" ref="W17:Z17" si="16">SUM(W123)</f>
        <v>0</v>
      </c>
      <c r="X17" s="852">
        <f t="shared" si="16"/>
        <v>0</v>
      </c>
      <c r="Y17" s="852">
        <f t="shared" si="16"/>
        <v>0</v>
      </c>
      <c r="Z17" s="853">
        <f t="shared" si="16"/>
        <v>0</v>
      </c>
      <c r="AA17" s="313"/>
      <c r="AB17" s="147"/>
      <c r="AC17" s="124" t="str">
        <f>Translations!$B$1278</f>
        <v>Hide row for reduced scope</v>
      </c>
    </row>
    <row r="18" spans="1:29" x14ac:dyDescent="0.25">
      <c r="C18" s="113" t="s">
        <v>212</v>
      </c>
      <c r="D18" s="113"/>
      <c r="E18" s="113"/>
      <c r="F18" s="113"/>
      <c r="G18" s="113"/>
      <c r="H18" s="113"/>
      <c r="I18" s="113"/>
      <c r="J18" s="113"/>
      <c r="K18" s="113"/>
      <c r="L18" s="113"/>
      <c r="M18" s="113"/>
      <c r="N18" s="113"/>
      <c r="O18" s="113"/>
      <c r="P18" s="113"/>
      <c r="Q18" s="113"/>
      <c r="R18" s="113"/>
      <c r="S18" s="113"/>
      <c r="T18" s="113"/>
      <c r="U18" s="113"/>
      <c r="V18" s="113"/>
      <c r="W18" s="113"/>
      <c r="X18" s="113"/>
      <c r="Y18" s="113"/>
      <c r="Z18" s="364"/>
      <c r="AC18" s="914" t="s">
        <v>213</v>
      </c>
    </row>
    <row r="19" spans="1:29" x14ac:dyDescent="0.25">
      <c r="C19" s="68" t="str">
        <f>Translations!$B$989</f>
        <v>Total emissions entered in section 5(c):</v>
      </c>
      <c r="F19" s="168">
        <f>INDICATOR_ETS_TotalEmissions</f>
        <v>63522</v>
      </c>
      <c r="G19" s="170" t="s">
        <v>198</v>
      </c>
      <c r="AC19" s="914"/>
    </row>
    <row r="20" spans="1:29" x14ac:dyDescent="0.25">
      <c r="C20" s="68" t="str">
        <f>Translations!$B$990</f>
        <v>Difference to data given in this sheet:</v>
      </c>
      <c r="F20" s="169">
        <f>F19-ROUND(W13,0)</f>
        <v>0</v>
      </c>
      <c r="G20" s="170" t="s">
        <v>198</v>
      </c>
      <c r="AC20" s="914"/>
    </row>
    <row r="21" spans="1:29" x14ac:dyDescent="0.25">
      <c r="AC21" s="914"/>
    </row>
    <row r="22" spans="1:29" ht="12.75" customHeight="1" x14ac:dyDescent="0.25">
      <c r="B22" s="60" t="s">
        <v>34</v>
      </c>
      <c r="C22" s="1104" t="str">
        <f>Translations!$B$991</f>
        <v>Aggregated CO2 emissions from all flights of which departure Member State is the same as arrival Member State (domestic flights):</v>
      </c>
      <c r="D22" s="1066"/>
      <c r="E22" s="1066"/>
      <c r="F22" s="1066"/>
      <c r="G22" s="1066"/>
      <c r="H22" s="1066"/>
      <c r="I22" s="1066"/>
      <c r="J22" s="1066"/>
      <c r="K22" s="1066"/>
      <c r="L22" s="1066"/>
      <c r="M22" s="1066"/>
      <c r="N22" s="1066"/>
      <c r="O22" s="1066"/>
      <c r="P22" s="1066"/>
      <c r="Q22" s="1066"/>
      <c r="R22" s="1066"/>
      <c r="S22" s="1066"/>
      <c r="T22" s="1066"/>
      <c r="U22" s="1066"/>
      <c r="V22" s="1066"/>
      <c r="W22" s="1066"/>
      <c r="X22" s="1066"/>
      <c r="Y22" s="1066"/>
      <c r="Z22" s="960"/>
      <c r="AA22" s="313"/>
      <c r="AC22" s="914"/>
    </row>
    <row r="23" spans="1:29" ht="13.2" customHeight="1" x14ac:dyDescent="0.25">
      <c r="C23" s="1200" t="s">
        <v>214</v>
      </c>
      <c r="D23" s="960"/>
      <c r="E23" s="960"/>
      <c r="F23" s="960"/>
      <c r="G23" s="960"/>
      <c r="H23" s="960"/>
      <c r="I23" s="960"/>
      <c r="J23" s="960"/>
      <c r="K23" s="960"/>
      <c r="L23" s="960"/>
      <c r="M23" s="960"/>
      <c r="N23" s="960"/>
      <c r="O23" s="960"/>
      <c r="P23" s="960"/>
      <c r="Q23" s="960"/>
      <c r="R23" s="960"/>
      <c r="S23" s="960"/>
      <c r="T23" s="960"/>
      <c r="U23" s="960"/>
      <c r="V23" s="960"/>
      <c r="W23" s="960"/>
      <c r="X23" s="960"/>
      <c r="Y23" s="960"/>
      <c r="Z23" s="960"/>
      <c r="AA23" s="313"/>
      <c r="AC23" s="914" t="s">
        <v>213</v>
      </c>
    </row>
    <row r="24" spans="1:29" ht="13.2" customHeight="1" thickBot="1" x14ac:dyDescent="0.3">
      <c r="C24" s="224"/>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C24" s="914"/>
    </row>
    <row r="25" spans="1:29" ht="12.75" customHeight="1" x14ac:dyDescent="0.25">
      <c r="C25" s="138"/>
      <c r="D25" s="151"/>
      <c r="E25" s="1221" t="s">
        <v>202</v>
      </c>
      <c r="F25" s="1222"/>
      <c r="G25" s="1222"/>
      <c r="H25" s="1222"/>
      <c r="I25" s="1222"/>
      <c r="J25" s="1222"/>
      <c r="K25" s="1222"/>
      <c r="L25" s="1222"/>
      <c r="M25" s="1222"/>
      <c r="N25" s="1222"/>
      <c r="O25" s="1222"/>
      <c r="P25" s="1222"/>
      <c r="Q25" s="1222"/>
      <c r="R25" s="1222"/>
      <c r="S25" s="1222"/>
      <c r="T25" s="1222"/>
      <c r="U25" s="1222"/>
      <c r="V25" s="1222"/>
      <c r="W25" s="1232" t="s">
        <v>203</v>
      </c>
      <c r="X25" s="1232" t="s">
        <v>204</v>
      </c>
      <c r="Y25" s="1232" t="s">
        <v>205</v>
      </c>
      <c r="Z25" s="1223" t="str">
        <f>Translations!$B$1026</f>
        <v>Total number of flights</v>
      </c>
      <c r="AA25" s="600"/>
      <c r="AB25" s="147"/>
      <c r="AC25" s="914"/>
    </row>
    <row r="26" spans="1:29" ht="30.6" x14ac:dyDescent="0.25">
      <c r="C26" s="1219" t="str">
        <f>Translations!$B$993</f>
        <v>Member State of departure and arrival</v>
      </c>
      <c r="D26" s="1234"/>
      <c r="E26" s="52" t="str">
        <f>Translations!$B$981</f>
        <v>Jet kerosene (jet A1 or 
jet A)</v>
      </c>
      <c r="F26" s="52" t="str">
        <f>Translations!$B$274</f>
        <v>Jet gasoline (Jet B)</v>
      </c>
      <c r="G26" s="52" t="str">
        <f>Translations!$B$275</f>
        <v>Aviation gasoline (AvGas)</v>
      </c>
      <c r="H26" s="656" t="str">
        <f t="shared" ref="H26:V26" si="17">H$193</f>
        <v>4. HEFA</v>
      </c>
      <c r="I26" s="656" t="str">
        <f t="shared" si="17"/>
        <v>5. RFNBO EDDF</v>
      </c>
      <c r="J26" s="656" t="str">
        <f t="shared" si="17"/>
        <v>6. ATJ</v>
      </c>
      <c r="K26" s="656" t="str">
        <f t="shared" si="17"/>
        <v>Fuel 7</v>
      </c>
      <c r="L26" s="656" t="str">
        <f t="shared" si="17"/>
        <v>Fuel 8</v>
      </c>
      <c r="M26" s="656" t="str">
        <f t="shared" si="17"/>
        <v>Fuel 9</v>
      </c>
      <c r="N26" s="656" t="str">
        <f t="shared" si="17"/>
        <v>Fuel 10</v>
      </c>
      <c r="O26" s="656" t="str">
        <f t="shared" si="17"/>
        <v>Fuel 11</v>
      </c>
      <c r="P26" s="656" t="str">
        <f t="shared" si="17"/>
        <v>Fuel 12</v>
      </c>
      <c r="Q26" s="656" t="str">
        <f t="shared" si="17"/>
        <v>Fuel 13</v>
      </c>
      <c r="R26" s="656" t="str">
        <f t="shared" si="17"/>
        <v>Fuel 14</v>
      </c>
      <c r="S26" s="656" t="str">
        <f t="shared" si="17"/>
        <v>Fuel 15</v>
      </c>
      <c r="T26" s="656" t="str">
        <f t="shared" si="17"/>
        <v>Fuel 16</v>
      </c>
      <c r="U26" s="656" t="str">
        <f t="shared" si="17"/>
        <v>Fuel 17</v>
      </c>
      <c r="V26" s="656" t="str">
        <f t="shared" si="17"/>
        <v>Fuel 18</v>
      </c>
      <c r="W26" s="1233"/>
      <c r="X26" s="1233"/>
      <c r="Y26" s="1233"/>
      <c r="Z26" s="1224"/>
      <c r="AA26" s="284"/>
      <c r="AB26" s="147"/>
      <c r="AC26" s="914" t="s">
        <v>215</v>
      </c>
    </row>
    <row r="27" spans="1:29" x14ac:dyDescent="0.25">
      <c r="C27" s="152" t="str">
        <f>Translations!$B$369</f>
        <v>Austria</v>
      </c>
      <c r="D27" s="153"/>
      <c r="E27" s="675"/>
      <c r="F27" s="675"/>
      <c r="G27" s="675"/>
      <c r="H27" s="675"/>
      <c r="I27" s="675"/>
      <c r="J27" s="675"/>
      <c r="K27" s="675"/>
      <c r="L27" s="675"/>
      <c r="M27" s="675"/>
      <c r="N27" s="675"/>
      <c r="O27" s="675"/>
      <c r="P27" s="675"/>
      <c r="Q27" s="675"/>
      <c r="R27" s="675"/>
      <c r="S27" s="675"/>
      <c r="T27" s="675"/>
      <c r="U27" s="675"/>
      <c r="V27" s="675"/>
      <c r="W27" s="359">
        <f t="shared" ref="W27:W57" si="18">SUMPRODUCT(E27:V27,$E$196:$V$196)</f>
        <v>0</v>
      </c>
      <c r="X27" s="359">
        <f>Y27-W27</f>
        <v>0</v>
      </c>
      <c r="Y27" s="359">
        <f t="shared" ref="Y27:Y57" si="19">SUMPRODUCT(E27:V27,$E$195:$V$195)</f>
        <v>0</v>
      </c>
      <c r="Z27" s="360"/>
      <c r="AA27" s="600"/>
      <c r="AC27" s="914"/>
    </row>
    <row r="28" spans="1:29" x14ac:dyDescent="0.25">
      <c r="C28" s="152" t="str">
        <f>Translations!$B$370</f>
        <v>Belgium</v>
      </c>
      <c r="D28" s="153"/>
      <c r="E28" s="675"/>
      <c r="F28" s="675"/>
      <c r="G28" s="675"/>
      <c r="H28" s="675"/>
      <c r="I28" s="675"/>
      <c r="J28" s="675"/>
      <c r="K28" s="675"/>
      <c r="L28" s="675"/>
      <c r="M28" s="675"/>
      <c r="N28" s="675"/>
      <c r="O28" s="675"/>
      <c r="P28" s="675"/>
      <c r="Q28" s="675"/>
      <c r="R28" s="675"/>
      <c r="S28" s="675"/>
      <c r="T28" s="675"/>
      <c r="U28" s="675"/>
      <c r="V28" s="675"/>
      <c r="W28" s="359">
        <f t="shared" si="18"/>
        <v>0</v>
      </c>
      <c r="X28" s="359">
        <f t="shared" ref="X28:X57" si="20">Y28-W28</f>
        <v>0</v>
      </c>
      <c r="Y28" s="359">
        <f t="shared" si="19"/>
        <v>0</v>
      </c>
      <c r="Z28" s="360"/>
      <c r="AA28" s="600"/>
      <c r="AC28" s="914"/>
    </row>
    <row r="29" spans="1:29" x14ac:dyDescent="0.25">
      <c r="C29" s="152" t="str">
        <f>Translations!$B$371</f>
        <v>Bulgaria</v>
      </c>
      <c r="D29" s="153"/>
      <c r="E29" s="675"/>
      <c r="F29" s="675"/>
      <c r="G29" s="675"/>
      <c r="H29" s="675"/>
      <c r="I29" s="675"/>
      <c r="J29" s="675"/>
      <c r="K29" s="675"/>
      <c r="L29" s="675"/>
      <c r="M29" s="675"/>
      <c r="N29" s="675"/>
      <c r="O29" s="675"/>
      <c r="P29" s="675"/>
      <c r="Q29" s="675"/>
      <c r="R29" s="675"/>
      <c r="S29" s="675"/>
      <c r="T29" s="675"/>
      <c r="U29" s="675"/>
      <c r="V29" s="675"/>
      <c r="W29" s="359">
        <f t="shared" si="18"/>
        <v>0</v>
      </c>
      <c r="X29" s="359">
        <f t="shared" si="20"/>
        <v>0</v>
      </c>
      <c r="Y29" s="359">
        <f t="shared" si="19"/>
        <v>0</v>
      </c>
      <c r="Z29" s="360"/>
      <c r="AA29" s="600"/>
      <c r="AC29" s="914"/>
    </row>
    <row r="30" spans="1:29" x14ac:dyDescent="0.25">
      <c r="C30" s="152" t="str">
        <f>Translations!$B$372</f>
        <v>Croatia</v>
      </c>
      <c r="D30" s="153"/>
      <c r="E30" s="675"/>
      <c r="F30" s="675"/>
      <c r="G30" s="675"/>
      <c r="H30" s="675"/>
      <c r="I30" s="675"/>
      <c r="J30" s="675"/>
      <c r="K30" s="675"/>
      <c r="L30" s="675"/>
      <c r="M30" s="675"/>
      <c r="N30" s="675"/>
      <c r="O30" s="675"/>
      <c r="P30" s="675"/>
      <c r="Q30" s="675"/>
      <c r="R30" s="675"/>
      <c r="S30" s="675"/>
      <c r="T30" s="675"/>
      <c r="U30" s="675"/>
      <c r="V30" s="675"/>
      <c r="W30" s="359">
        <f t="shared" si="18"/>
        <v>0</v>
      </c>
      <c r="X30" s="359">
        <f t="shared" si="20"/>
        <v>0</v>
      </c>
      <c r="Y30" s="359">
        <f t="shared" si="19"/>
        <v>0</v>
      </c>
      <c r="Z30" s="360"/>
      <c r="AA30" s="600"/>
      <c r="AC30" s="914"/>
    </row>
    <row r="31" spans="1:29" x14ac:dyDescent="0.25">
      <c r="C31" s="152" t="str">
        <f>Translations!$B$373</f>
        <v>Cyprus</v>
      </c>
      <c r="D31" s="153"/>
      <c r="E31" s="675"/>
      <c r="F31" s="675"/>
      <c r="G31" s="675"/>
      <c r="H31" s="675"/>
      <c r="I31" s="675"/>
      <c r="J31" s="675"/>
      <c r="K31" s="675"/>
      <c r="L31" s="675"/>
      <c r="M31" s="675"/>
      <c r="N31" s="675"/>
      <c r="O31" s="675"/>
      <c r="P31" s="675"/>
      <c r="Q31" s="675"/>
      <c r="R31" s="675"/>
      <c r="S31" s="675"/>
      <c r="T31" s="675"/>
      <c r="U31" s="675"/>
      <c r="V31" s="675"/>
      <c r="W31" s="359">
        <f t="shared" si="18"/>
        <v>0</v>
      </c>
      <c r="X31" s="359">
        <f t="shared" si="20"/>
        <v>0</v>
      </c>
      <c r="Y31" s="359">
        <f t="shared" si="19"/>
        <v>0</v>
      </c>
      <c r="Z31" s="360"/>
      <c r="AA31" s="600"/>
    </row>
    <row r="32" spans="1:29" x14ac:dyDescent="0.25">
      <c r="C32" s="152" t="str">
        <f>Translations!$B$374</f>
        <v>Czechia</v>
      </c>
      <c r="D32" s="153"/>
      <c r="E32" s="675"/>
      <c r="F32" s="675"/>
      <c r="G32" s="675"/>
      <c r="H32" s="675"/>
      <c r="I32" s="675"/>
      <c r="J32" s="675"/>
      <c r="K32" s="675"/>
      <c r="L32" s="675"/>
      <c r="M32" s="675"/>
      <c r="N32" s="675"/>
      <c r="O32" s="675"/>
      <c r="P32" s="675"/>
      <c r="Q32" s="675"/>
      <c r="R32" s="675"/>
      <c r="S32" s="675"/>
      <c r="T32" s="675"/>
      <c r="U32" s="675"/>
      <c r="V32" s="675"/>
      <c r="W32" s="359">
        <f t="shared" si="18"/>
        <v>0</v>
      </c>
      <c r="X32" s="359">
        <f t="shared" si="20"/>
        <v>0</v>
      </c>
      <c r="Y32" s="359">
        <f t="shared" si="19"/>
        <v>0</v>
      </c>
      <c r="Z32" s="360"/>
      <c r="AA32" s="600"/>
    </row>
    <row r="33" spans="3:27" x14ac:dyDescent="0.25">
      <c r="C33" s="152" t="str">
        <f>Translations!$B$375</f>
        <v>Denmark</v>
      </c>
      <c r="D33" s="153"/>
      <c r="E33" s="675"/>
      <c r="F33" s="675"/>
      <c r="G33" s="675"/>
      <c r="H33" s="675"/>
      <c r="I33" s="675"/>
      <c r="J33" s="675"/>
      <c r="K33" s="675"/>
      <c r="L33" s="675"/>
      <c r="M33" s="675"/>
      <c r="N33" s="675"/>
      <c r="O33" s="675"/>
      <c r="P33" s="675"/>
      <c r="Q33" s="675"/>
      <c r="R33" s="675"/>
      <c r="S33" s="675"/>
      <c r="T33" s="675"/>
      <c r="U33" s="675"/>
      <c r="V33" s="675"/>
      <c r="W33" s="359">
        <f t="shared" si="18"/>
        <v>0</v>
      </c>
      <c r="X33" s="359">
        <f t="shared" si="20"/>
        <v>0</v>
      </c>
      <c r="Y33" s="359">
        <f t="shared" si="19"/>
        <v>0</v>
      </c>
      <c r="Z33" s="360"/>
      <c r="AA33" s="600"/>
    </row>
    <row r="34" spans="3:27" x14ac:dyDescent="0.25">
      <c r="C34" s="152" t="str">
        <f>Translations!$B$376</f>
        <v>Estonia</v>
      </c>
      <c r="D34" s="153"/>
      <c r="E34" s="675"/>
      <c r="F34" s="675"/>
      <c r="G34" s="675"/>
      <c r="H34" s="675"/>
      <c r="I34" s="675"/>
      <c r="J34" s="675"/>
      <c r="K34" s="675"/>
      <c r="L34" s="675"/>
      <c r="M34" s="675"/>
      <c r="N34" s="675"/>
      <c r="O34" s="675"/>
      <c r="P34" s="675"/>
      <c r="Q34" s="675"/>
      <c r="R34" s="675"/>
      <c r="S34" s="675"/>
      <c r="T34" s="675"/>
      <c r="U34" s="675"/>
      <c r="V34" s="675"/>
      <c r="W34" s="359">
        <f t="shared" si="18"/>
        <v>0</v>
      </c>
      <c r="X34" s="359">
        <f t="shared" si="20"/>
        <v>0</v>
      </c>
      <c r="Y34" s="359">
        <f t="shared" si="19"/>
        <v>0</v>
      </c>
      <c r="Z34" s="360"/>
      <c r="AA34" s="600"/>
    </row>
    <row r="35" spans="3:27" x14ac:dyDescent="0.25">
      <c r="C35" s="152" t="str">
        <f>Translations!$B$377</f>
        <v>Finland</v>
      </c>
      <c r="D35" s="153"/>
      <c r="E35" s="675"/>
      <c r="F35" s="675"/>
      <c r="G35" s="675"/>
      <c r="H35" s="675"/>
      <c r="I35" s="675"/>
      <c r="J35" s="675"/>
      <c r="K35" s="675"/>
      <c r="L35" s="675"/>
      <c r="M35" s="675"/>
      <c r="N35" s="675"/>
      <c r="O35" s="675"/>
      <c r="P35" s="675"/>
      <c r="Q35" s="675"/>
      <c r="R35" s="675"/>
      <c r="S35" s="675"/>
      <c r="T35" s="675"/>
      <c r="U35" s="675"/>
      <c r="V35" s="675"/>
      <c r="W35" s="359">
        <f t="shared" si="18"/>
        <v>0</v>
      </c>
      <c r="X35" s="359">
        <f t="shared" si="20"/>
        <v>0</v>
      </c>
      <c r="Y35" s="359">
        <f t="shared" si="19"/>
        <v>0</v>
      </c>
      <c r="Z35" s="360"/>
      <c r="AA35" s="600"/>
    </row>
    <row r="36" spans="3:27" x14ac:dyDescent="0.25">
      <c r="C36" s="152" t="str">
        <f>Translations!$B$378</f>
        <v>France</v>
      </c>
      <c r="D36" s="153"/>
      <c r="E36" s="675"/>
      <c r="F36" s="675"/>
      <c r="G36" s="675"/>
      <c r="H36" s="675"/>
      <c r="I36" s="675"/>
      <c r="J36" s="675"/>
      <c r="K36" s="675"/>
      <c r="L36" s="675"/>
      <c r="M36" s="675"/>
      <c r="N36" s="675"/>
      <c r="O36" s="675"/>
      <c r="P36" s="675"/>
      <c r="Q36" s="675"/>
      <c r="R36" s="675"/>
      <c r="S36" s="675"/>
      <c r="T36" s="675"/>
      <c r="U36" s="675"/>
      <c r="V36" s="675"/>
      <c r="W36" s="359">
        <f t="shared" si="18"/>
        <v>0</v>
      </c>
      <c r="X36" s="359">
        <f t="shared" si="20"/>
        <v>0</v>
      </c>
      <c r="Y36" s="359">
        <f t="shared" si="19"/>
        <v>0</v>
      </c>
      <c r="Z36" s="360"/>
      <c r="AA36" s="600"/>
    </row>
    <row r="37" spans="3:27" x14ac:dyDescent="0.25">
      <c r="C37" s="152" t="str">
        <f>Translations!$B$379</f>
        <v>Germany</v>
      </c>
      <c r="D37" s="153"/>
      <c r="E37" s="675"/>
      <c r="F37" s="675"/>
      <c r="G37" s="675"/>
      <c r="H37" s="675"/>
      <c r="I37" s="675"/>
      <c r="J37" s="675"/>
      <c r="K37" s="675"/>
      <c r="L37" s="675"/>
      <c r="M37" s="675"/>
      <c r="N37" s="675"/>
      <c r="O37" s="675"/>
      <c r="P37" s="675"/>
      <c r="Q37" s="675"/>
      <c r="R37" s="675"/>
      <c r="S37" s="675"/>
      <c r="T37" s="675"/>
      <c r="U37" s="675"/>
      <c r="V37" s="675"/>
      <c r="W37" s="359">
        <f t="shared" si="18"/>
        <v>0</v>
      </c>
      <c r="X37" s="359">
        <f t="shared" si="20"/>
        <v>0</v>
      </c>
      <c r="Y37" s="359">
        <f t="shared" si="19"/>
        <v>0</v>
      </c>
      <c r="Z37" s="360"/>
      <c r="AA37" s="600"/>
    </row>
    <row r="38" spans="3:27" x14ac:dyDescent="0.25">
      <c r="C38" s="152" t="str">
        <f>Translations!$B$380</f>
        <v>Greece</v>
      </c>
      <c r="D38" s="153"/>
      <c r="E38" s="675"/>
      <c r="F38" s="675"/>
      <c r="G38" s="675"/>
      <c r="H38" s="675"/>
      <c r="I38" s="675"/>
      <c r="J38" s="675"/>
      <c r="K38" s="675"/>
      <c r="L38" s="675"/>
      <c r="M38" s="675"/>
      <c r="N38" s="675"/>
      <c r="O38" s="675"/>
      <c r="P38" s="675"/>
      <c r="Q38" s="675"/>
      <c r="R38" s="675"/>
      <c r="S38" s="675"/>
      <c r="T38" s="675"/>
      <c r="U38" s="675"/>
      <c r="V38" s="675"/>
      <c r="W38" s="359">
        <f t="shared" si="18"/>
        <v>0</v>
      </c>
      <c r="X38" s="359">
        <f t="shared" si="20"/>
        <v>0</v>
      </c>
      <c r="Y38" s="359">
        <f t="shared" si="19"/>
        <v>0</v>
      </c>
      <c r="Z38" s="360"/>
      <c r="AA38" s="600"/>
    </row>
    <row r="39" spans="3:27" x14ac:dyDescent="0.25">
      <c r="C39" s="152" t="str">
        <f>Translations!$B$381</f>
        <v>Hungary</v>
      </c>
      <c r="D39" s="153"/>
      <c r="E39" s="675"/>
      <c r="F39" s="675"/>
      <c r="G39" s="675"/>
      <c r="H39" s="675"/>
      <c r="I39" s="675"/>
      <c r="J39" s="675"/>
      <c r="K39" s="675"/>
      <c r="L39" s="675"/>
      <c r="M39" s="675"/>
      <c r="N39" s="675"/>
      <c r="O39" s="675"/>
      <c r="P39" s="675"/>
      <c r="Q39" s="675"/>
      <c r="R39" s="675"/>
      <c r="S39" s="675"/>
      <c r="T39" s="675"/>
      <c r="U39" s="675"/>
      <c r="V39" s="675"/>
      <c r="W39" s="359">
        <f t="shared" si="18"/>
        <v>0</v>
      </c>
      <c r="X39" s="359">
        <f t="shared" si="20"/>
        <v>0</v>
      </c>
      <c r="Y39" s="359">
        <f t="shared" si="19"/>
        <v>0</v>
      </c>
      <c r="Z39" s="360"/>
      <c r="AA39" s="600"/>
    </row>
    <row r="40" spans="3:27" x14ac:dyDescent="0.25">
      <c r="C40" s="152" t="str">
        <f>Translations!$B$382</f>
        <v>Iceland</v>
      </c>
      <c r="D40" s="153"/>
      <c r="E40" s="675"/>
      <c r="F40" s="675"/>
      <c r="G40" s="675"/>
      <c r="H40" s="675"/>
      <c r="I40" s="675"/>
      <c r="J40" s="675"/>
      <c r="K40" s="675"/>
      <c r="L40" s="675"/>
      <c r="M40" s="675"/>
      <c r="N40" s="675"/>
      <c r="O40" s="675"/>
      <c r="P40" s="675"/>
      <c r="Q40" s="675"/>
      <c r="R40" s="675"/>
      <c r="S40" s="675"/>
      <c r="T40" s="675"/>
      <c r="U40" s="675"/>
      <c r="V40" s="675"/>
      <c r="W40" s="359">
        <f t="shared" si="18"/>
        <v>0</v>
      </c>
      <c r="X40" s="359">
        <f t="shared" si="20"/>
        <v>0</v>
      </c>
      <c r="Y40" s="359">
        <f t="shared" si="19"/>
        <v>0</v>
      </c>
      <c r="Z40" s="360"/>
      <c r="AA40" s="600"/>
    </row>
    <row r="41" spans="3:27" x14ac:dyDescent="0.25">
      <c r="C41" s="152" t="str">
        <f>Translations!$B$383</f>
        <v>Ireland</v>
      </c>
      <c r="D41" s="153"/>
      <c r="E41" s="675"/>
      <c r="F41" s="675"/>
      <c r="G41" s="675"/>
      <c r="H41" s="675"/>
      <c r="I41" s="675"/>
      <c r="J41" s="675"/>
      <c r="K41" s="675"/>
      <c r="L41" s="675"/>
      <c r="M41" s="675"/>
      <c r="N41" s="675"/>
      <c r="O41" s="675"/>
      <c r="P41" s="675"/>
      <c r="Q41" s="675"/>
      <c r="R41" s="675"/>
      <c r="S41" s="675"/>
      <c r="T41" s="675"/>
      <c r="U41" s="675"/>
      <c r="V41" s="675"/>
      <c r="W41" s="359">
        <f t="shared" si="18"/>
        <v>0</v>
      </c>
      <c r="X41" s="359">
        <f t="shared" si="20"/>
        <v>0</v>
      </c>
      <c r="Y41" s="359">
        <f t="shared" si="19"/>
        <v>0</v>
      </c>
      <c r="Z41" s="360"/>
      <c r="AA41" s="600"/>
    </row>
    <row r="42" spans="3:27" x14ac:dyDescent="0.25">
      <c r="C42" s="152" t="str">
        <f>Translations!$B$384</f>
        <v>Italy</v>
      </c>
      <c r="D42" s="153"/>
      <c r="E42" s="675"/>
      <c r="F42" s="675"/>
      <c r="G42" s="675"/>
      <c r="H42" s="675"/>
      <c r="I42" s="675"/>
      <c r="J42" s="675"/>
      <c r="K42" s="675"/>
      <c r="L42" s="675"/>
      <c r="M42" s="675"/>
      <c r="N42" s="675"/>
      <c r="O42" s="675"/>
      <c r="P42" s="675"/>
      <c r="Q42" s="675"/>
      <c r="R42" s="675"/>
      <c r="S42" s="675"/>
      <c r="T42" s="675"/>
      <c r="U42" s="675"/>
      <c r="V42" s="675"/>
      <c r="W42" s="359">
        <f t="shared" si="18"/>
        <v>0</v>
      </c>
      <c r="X42" s="359">
        <f t="shared" si="20"/>
        <v>0</v>
      </c>
      <c r="Y42" s="359">
        <f t="shared" si="19"/>
        <v>0</v>
      </c>
      <c r="Z42" s="360"/>
      <c r="AA42" s="600"/>
    </row>
    <row r="43" spans="3:27" x14ac:dyDescent="0.25">
      <c r="C43" s="152" t="str">
        <f>Translations!$B$385</f>
        <v>Latvia</v>
      </c>
      <c r="D43" s="153"/>
      <c r="E43" s="675"/>
      <c r="F43" s="675"/>
      <c r="G43" s="675"/>
      <c r="H43" s="675"/>
      <c r="I43" s="675"/>
      <c r="J43" s="675"/>
      <c r="K43" s="675"/>
      <c r="L43" s="675"/>
      <c r="M43" s="675"/>
      <c r="N43" s="675"/>
      <c r="O43" s="675"/>
      <c r="P43" s="675"/>
      <c r="Q43" s="675"/>
      <c r="R43" s="675"/>
      <c r="S43" s="675"/>
      <c r="T43" s="675"/>
      <c r="U43" s="675"/>
      <c r="V43" s="675"/>
      <c r="W43" s="359">
        <f t="shared" si="18"/>
        <v>0</v>
      </c>
      <c r="X43" s="359">
        <f t="shared" si="20"/>
        <v>0</v>
      </c>
      <c r="Y43" s="359">
        <f t="shared" si="19"/>
        <v>0</v>
      </c>
      <c r="Z43" s="360"/>
      <c r="AA43" s="600"/>
    </row>
    <row r="44" spans="3:27" x14ac:dyDescent="0.25">
      <c r="C44" s="152" t="str">
        <f>Translations!$B$386</f>
        <v>Liechtenstein</v>
      </c>
      <c r="D44" s="153"/>
      <c r="E44" s="675"/>
      <c r="F44" s="675"/>
      <c r="G44" s="675"/>
      <c r="H44" s="675"/>
      <c r="I44" s="675"/>
      <c r="J44" s="675"/>
      <c r="K44" s="675"/>
      <c r="L44" s="675"/>
      <c r="M44" s="675"/>
      <c r="N44" s="675"/>
      <c r="O44" s="675"/>
      <c r="P44" s="675"/>
      <c r="Q44" s="675"/>
      <c r="R44" s="675"/>
      <c r="S44" s="675"/>
      <c r="T44" s="675"/>
      <c r="U44" s="675"/>
      <c r="V44" s="675"/>
      <c r="W44" s="359">
        <f t="shared" si="18"/>
        <v>0</v>
      </c>
      <c r="X44" s="359">
        <f t="shared" si="20"/>
        <v>0</v>
      </c>
      <c r="Y44" s="359">
        <f t="shared" si="19"/>
        <v>0</v>
      </c>
      <c r="Z44" s="360"/>
      <c r="AA44" s="600"/>
    </row>
    <row r="45" spans="3:27" x14ac:dyDescent="0.25">
      <c r="C45" s="152" t="str">
        <f>Translations!$B$387</f>
        <v>Lithuania</v>
      </c>
      <c r="D45" s="153"/>
      <c r="E45" s="675"/>
      <c r="F45" s="675"/>
      <c r="G45" s="675"/>
      <c r="H45" s="675"/>
      <c r="I45" s="675"/>
      <c r="J45" s="675"/>
      <c r="K45" s="675"/>
      <c r="L45" s="675"/>
      <c r="M45" s="675"/>
      <c r="N45" s="675"/>
      <c r="O45" s="675"/>
      <c r="P45" s="675"/>
      <c r="Q45" s="675"/>
      <c r="R45" s="675"/>
      <c r="S45" s="675"/>
      <c r="T45" s="675"/>
      <c r="U45" s="675"/>
      <c r="V45" s="675"/>
      <c r="W45" s="359">
        <f t="shared" si="18"/>
        <v>0</v>
      </c>
      <c r="X45" s="359">
        <f t="shared" si="20"/>
        <v>0</v>
      </c>
      <c r="Y45" s="359">
        <f t="shared" si="19"/>
        <v>0</v>
      </c>
      <c r="Z45" s="360"/>
      <c r="AA45" s="600"/>
    </row>
    <row r="46" spans="3:27" x14ac:dyDescent="0.25">
      <c r="C46" s="152" t="str">
        <f>Translations!$B$388</f>
        <v>Luxembourg</v>
      </c>
      <c r="D46" s="153"/>
      <c r="E46" s="675"/>
      <c r="F46" s="675"/>
      <c r="G46" s="675"/>
      <c r="H46" s="675"/>
      <c r="I46" s="675"/>
      <c r="J46" s="675"/>
      <c r="K46" s="675"/>
      <c r="L46" s="675"/>
      <c r="M46" s="675"/>
      <c r="N46" s="675"/>
      <c r="O46" s="675"/>
      <c r="P46" s="675"/>
      <c r="Q46" s="675"/>
      <c r="R46" s="675"/>
      <c r="S46" s="675"/>
      <c r="T46" s="675"/>
      <c r="U46" s="675"/>
      <c r="V46" s="675"/>
      <c r="W46" s="359">
        <f t="shared" si="18"/>
        <v>0</v>
      </c>
      <c r="X46" s="359">
        <f t="shared" si="20"/>
        <v>0</v>
      </c>
      <c r="Y46" s="359">
        <f t="shared" si="19"/>
        <v>0</v>
      </c>
      <c r="Z46" s="360"/>
      <c r="AA46" s="600"/>
    </row>
    <row r="47" spans="3:27" x14ac:dyDescent="0.25">
      <c r="C47" s="152" t="str">
        <f>Translations!$B$389</f>
        <v>Malta</v>
      </c>
      <c r="D47" s="153"/>
      <c r="E47" s="675"/>
      <c r="F47" s="675"/>
      <c r="G47" s="675"/>
      <c r="H47" s="675"/>
      <c r="I47" s="675"/>
      <c r="J47" s="675"/>
      <c r="K47" s="675"/>
      <c r="L47" s="675"/>
      <c r="M47" s="675"/>
      <c r="N47" s="675"/>
      <c r="O47" s="675"/>
      <c r="P47" s="675"/>
      <c r="Q47" s="675"/>
      <c r="R47" s="675"/>
      <c r="S47" s="675"/>
      <c r="T47" s="675"/>
      <c r="U47" s="675"/>
      <c r="V47" s="675"/>
      <c r="W47" s="359">
        <f t="shared" si="18"/>
        <v>0</v>
      </c>
      <c r="X47" s="359">
        <f t="shared" si="20"/>
        <v>0</v>
      </c>
      <c r="Y47" s="359">
        <f t="shared" si="19"/>
        <v>0</v>
      </c>
      <c r="Z47" s="360"/>
      <c r="AA47" s="600"/>
    </row>
    <row r="48" spans="3:27" x14ac:dyDescent="0.25">
      <c r="C48" s="152" t="str">
        <f>Translations!$B$390</f>
        <v>Netherlands</v>
      </c>
      <c r="D48" s="153"/>
      <c r="E48" s="675"/>
      <c r="F48" s="675"/>
      <c r="G48" s="675"/>
      <c r="H48" s="675"/>
      <c r="I48" s="675"/>
      <c r="J48" s="675"/>
      <c r="K48" s="675"/>
      <c r="L48" s="675"/>
      <c r="M48" s="675"/>
      <c r="N48" s="675"/>
      <c r="O48" s="675"/>
      <c r="P48" s="675"/>
      <c r="Q48" s="675"/>
      <c r="R48" s="675"/>
      <c r="S48" s="675"/>
      <c r="T48" s="675"/>
      <c r="U48" s="675"/>
      <c r="V48" s="675"/>
      <c r="W48" s="359">
        <f t="shared" si="18"/>
        <v>0</v>
      </c>
      <c r="X48" s="359">
        <f t="shared" si="20"/>
        <v>0</v>
      </c>
      <c r="Y48" s="359">
        <f t="shared" si="19"/>
        <v>0</v>
      </c>
      <c r="Z48" s="360"/>
      <c r="AA48" s="600"/>
    </row>
    <row r="49" spans="2:29" x14ac:dyDescent="0.25">
      <c r="C49" s="152" t="str">
        <f>Translations!$B$391</f>
        <v>Norway</v>
      </c>
      <c r="D49" s="153"/>
      <c r="E49" s="675"/>
      <c r="F49" s="675"/>
      <c r="G49" s="675"/>
      <c r="H49" s="675"/>
      <c r="I49" s="675"/>
      <c r="J49" s="675"/>
      <c r="K49" s="675"/>
      <c r="L49" s="675"/>
      <c r="M49" s="675"/>
      <c r="N49" s="675"/>
      <c r="O49" s="675"/>
      <c r="P49" s="675"/>
      <c r="Q49" s="675"/>
      <c r="R49" s="675"/>
      <c r="S49" s="675"/>
      <c r="T49" s="675"/>
      <c r="U49" s="675"/>
      <c r="V49" s="675"/>
      <c r="W49" s="359">
        <f t="shared" si="18"/>
        <v>0</v>
      </c>
      <c r="X49" s="359">
        <f t="shared" si="20"/>
        <v>0</v>
      </c>
      <c r="Y49" s="359">
        <f t="shared" si="19"/>
        <v>0</v>
      </c>
      <c r="Z49" s="360"/>
      <c r="AA49" s="600"/>
    </row>
    <row r="50" spans="2:29" x14ac:dyDescent="0.25">
      <c r="C50" s="152" t="str">
        <f>Translations!$B$392</f>
        <v>Poland</v>
      </c>
      <c r="D50" s="153"/>
      <c r="E50" s="675"/>
      <c r="F50" s="675"/>
      <c r="G50" s="675"/>
      <c r="H50" s="675"/>
      <c r="I50" s="675"/>
      <c r="J50" s="675"/>
      <c r="K50" s="675"/>
      <c r="L50" s="675"/>
      <c r="M50" s="675"/>
      <c r="N50" s="675"/>
      <c r="O50" s="675"/>
      <c r="P50" s="675"/>
      <c r="Q50" s="675"/>
      <c r="R50" s="675"/>
      <c r="S50" s="675"/>
      <c r="T50" s="675"/>
      <c r="U50" s="675"/>
      <c r="V50" s="675"/>
      <c r="W50" s="359">
        <f t="shared" si="18"/>
        <v>0</v>
      </c>
      <c r="X50" s="359">
        <f t="shared" si="20"/>
        <v>0</v>
      </c>
      <c r="Y50" s="359">
        <f t="shared" si="19"/>
        <v>0</v>
      </c>
      <c r="Z50" s="360"/>
      <c r="AA50" s="600"/>
    </row>
    <row r="51" spans="2:29" x14ac:dyDescent="0.25">
      <c r="C51" s="152" t="str">
        <f>Translations!$B$393</f>
        <v>Portugal</v>
      </c>
      <c r="D51" s="153"/>
      <c r="E51" s="675"/>
      <c r="F51" s="675"/>
      <c r="G51" s="675"/>
      <c r="H51" s="675"/>
      <c r="I51" s="675"/>
      <c r="J51" s="675"/>
      <c r="K51" s="675"/>
      <c r="L51" s="675"/>
      <c r="M51" s="675"/>
      <c r="N51" s="675"/>
      <c r="O51" s="675"/>
      <c r="P51" s="675"/>
      <c r="Q51" s="675"/>
      <c r="R51" s="675"/>
      <c r="S51" s="675"/>
      <c r="T51" s="675"/>
      <c r="U51" s="675"/>
      <c r="V51" s="675"/>
      <c r="W51" s="359">
        <f t="shared" si="18"/>
        <v>0</v>
      </c>
      <c r="X51" s="359">
        <f t="shared" si="20"/>
        <v>0</v>
      </c>
      <c r="Y51" s="359">
        <f t="shared" si="19"/>
        <v>0</v>
      </c>
      <c r="Z51" s="360"/>
      <c r="AA51" s="600"/>
    </row>
    <row r="52" spans="2:29" x14ac:dyDescent="0.25">
      <c r="C52" s="152" t="str">
        <f>Translations!$B$394</f>
        <v>Romania</v>
      </c>
      <c r="D52" s="153"/>
      <c r="E52" s="675"/>
      <c r="F52" s="675"/>
      <c r="G52" s="675"/>
      <c r="H52" s="675"/>
      <c r="I52" s="675"/>
      <c r="J52" s="675"/>
      <c r="K52" s="675"/>
      <c r="L52" s="675"/>
      <c r="M52" s="675"/>
      <c r="N52" s="675"/>
      <c r="O52" s="675"/>
      <c r="P52" s="675"/>
      <c r="Q52" s="675"/>
      <c r="R52" s="675"/>
      <c r="S52" s="675"/>
      <c r="T52" s="675"/>
      <c r="U52" s="675"/>
      <c r="V52" s="675"/>
      <c r="W52" s="359">
        <f t="shared" si="18"/>
        <v>0</v>
      </c>
      <c r="X52" s="359">
        <f t="shared" si="20"/>
        <v>0</v>
      </c>
      <c r="Y52" s="359">
        <f t="shared" si="19"/>
        <v>0</v>
      </c>
      <c r="Z52" s="360"/>
      <c r="AA52" s="600"/>
    </row>
    <row r="53" spans="2:29" x14ac:dyDescent="0.25">
      <c r="C53" s="152" t="str">
        <f>Translations!$B$395</f>
        <v>Slovakia</v>
      </c>
      <c r="D53" s="153"/>
      <c r="E53" s="675"/>
      <c r="F53" s="675"/>
      <c r="G53" s="675"/>
      <c r="H53" s="675"/>
      <c r="I53" s="675"/>
      <c r="J53" s="675"/>
      <c r="K53" s="675"/>
      <c r="L53" s="675"/>
      <c r="M53" s="675"/>
      <c r="N53" s="675"/>
      <c r="O53" s="675"/>
      <c r="P53" s="675"/>
      <c r="Q53" s="675"/>
      <c r="R53" s="675"/>
      <c r="S53" s="675"/>
      <c r="T53" s="675"/>
      <c r="U53" s="675"/>
      <c r="V53" s="675"/>
      <c r="W53" s="359">
        <f t="shared" si="18"/>
        <v>0</v>
      </c>
      <c r="X53" s="359">
        <f t="shared" si="20"/>
        <v>0</v>
      </c>
      <c r="Y53" s="359">
        <f t="shared" si="19"/>
        <v>0</v>
      </c>
      <c r="Z53" s="360"/>
      <c r="AA53" s="600"/>
    </row>
    <row r="54" spans="2:29" x14ac:dyDescent="0.25">
      <c r="C54" s="152" t="str">
        <f>Translations!$B$396</f>
        <v>Slovenia</v>
      </c>
      <c r="D54" s="153"/>
      <c r="E54" s="675"/>
      <c r="F54" s="675"/>
      <c r="G54" s="675"/>
      <c r="H54" s="675"/>
      <c r="I54" s="675"/>
      <c r="J54" s="675"/>
      <c r="K54" s="675"/>
      <c r="L54" s="675"/>
      <c r="M54" s="675"/>
      <c r="N54" s="675"/>
      <c r="O54" s="675"/>
      <c r="P54" s="675"/>
      <c r="Q54" s="675"/>
      <c r="R54" s="675"/>
      <c r="S54" s="675"/>
      <c r="T54" s="675"/>
      <c r="U54" s="675"/>
      <c r="V54" s="675"/>
      <c r="W54" s="359">
        <f t="shared" si="18"/>
        <v>0</v>
      </c>
      <c r="X54" s="359">
        <f t="shared" si="20"/>
        <v>0</v>
      </c>
      <c r="Y54" s="359">
        <f t="shared" si="19"/>
        <v>0</v>
      </c>
      <c r="Z54" s="360"/>
      <c r="AA54" s="600"/>
    </row>
    <row r="55" spans="2:29" x14ac:dyDescent="0.25">
      <c r="C55" s="152" t="str">
        <f>Translations!$B$397</f>
        <v>Spain</v>
      </c>
      <c r="D55" s="153"/>
      <c r="E55" s="675"/>
      <c r="F55" s="675"/>
      <c r="G55" s="675"/>
      <c r="H55" s="675"/>
      <c r="I55" s="675"/>
      <c r="J55" s="675"/>
      <c r="K55" s="675"/>
      <c r="L55" s="675"/>
      <c r="M55" s="675"/>
      <c r="N55" s="675"/>
      <c r="O55" s="675"/>
      <c r="P55" s="675"/>
      <c r="Q55" s="675"/>
      <c r="R55" s="675"/>
      <c r="S55" s="675"/>
      <c r="T55" s="675"/>
      <c r="U55" s="675"/>
      <c r="V55" s="675"/>
      <c r="W55" s="359">
        <f t="shared" si="18"/>
        <v>0</v>
      </c>
      <c r="X55" s="359">
        <f t="shared" si="20"/>
        <v>0</v>
      </c>
      <c r="Y55" s="359">
        <f t="shared" si="19"/>
        <v>0</v>
      </c>
      <c r="Z55" s="360"/>
      <c r="AA55" s="600"/>
    </row>
    <row r="56" spans="2:29" x14ac:dyDescent="0.25">
      <c r="C56" s="152" t="str">
        <f>Translations!$B$398</f>
        <v>Sweden</v>
      </c>
      <c r="D56" s="153"/>
      <c r="E56" s="675"/>
      <c r="F56" s="675"/>
      <c r="G56" s="675"/>
      <c r="H56" s="675"/>
      <c r="I56" s="675"/>
      <c r="J56" s="675"/>
      <c r="K56" s="675"/>
      <c r="L56" s="675"/>
      <c r="M56" s="675"/>
      <c r="N56" s="675"/>
      <c r="O56" s="675"/>
      <c r="P56" s="675"/>
      <c r="Q56" s="675"/>
      <c r="R56" s="675"/>
      <c r="S56" s="675"/>
      <c r="T56" s="675"/>
      <c r="U56" s="675"/>
      <c r="V56" s="675"/>
      <c r="W56" s="359">
        <f t="shared" si="18"/>
        <v>0</v>
      </c>
      <c r="X56" s="359">
        <f t="shared" si="20"/>
        <v>0</v>
      </c>
      <c r="Y56" s="359">
        <f t="shared" si="19"/>
        <v>0</v>
      </c>
      <c r="Z56" s="360"/>
      <c r="AA56" s="600"/>
    </row>
    <row r="57" spans="2:29" hidden="1" x14ac:dyDescent="0.25">
      <c r="C57" s="152" t="str">
        <f>Translations!$B$399</f>
        <v>United Kingdom</v>
      </c>
      <c r="D57" s="153"/>
      <c r="E57" s="848"/>
      <c r="F57" s="848"/>
      <c r="G57" s="848"/>
      <c r="H57" s="848"/>
      <c r="I57" s="848"/>
      <c r="J57" s="848"/>
      <c r="K57" s="848"/>
      <c r="L57" s="848"/>
      <c r="M57" s="848"/>
      <c r="N57" s="848"/>
      <c r="O57" s="848"/>
      <c r="P57" s="848"/>
      <c r="Q57" s="848"/>
      <c r="R57" s="848"/>
      <c r="S57" s="848"/>
      <c r="T57" s="848"/>
      <c r="U57" s="848"/>
      <c r="V57" s="848"/>
      <c r="W57" s="849">
        <f t="shared" si="18"/>
        <v>0</v>
      </c>
      <c r="X57" s="849">
        <f t="shared" si="20"/>
        <v>0</v>
      </c>
      <c r="Y57" s="849">
        <f t="shared" si="19"/>
        <v>0</v>
      </c>
      <c r="Z57" s="850"/>
      <c r="AA57" s="600"/>
      <c r="AC57" s="847" t="s">
        <v>1962</v>
      </c>
    </row>
    <row r="58" spans="2:29" ht="13.8" thickBot="1" x14ac:dyDescent="0.3">
      <c r="C58" s="154" t="str">
        <f>Translations!$B$994</f>
        <v>Sum of domestic flights:</v>
      </c>
      <c r="D58" s="154"/>
      <c r="E58" s="676">
        <f>SUM(E27:E56)</f>
        <v>0</v>
      </c>
      <c r="F58" s="676">
        <f t="shared" ref="F58:Z58" si="21">SUM(F27:F56)</f>
        <v>0</v>
      </c>
      <c r="G58" s="676">
        <f t="shared" si="21"/>
        <v>0</v>
      </c>
      <c r="H58" s="676">
        <f t="shared" si="21"/>
        <v>0</v>
      </c>
      <c r="I58" s="676">
        <f t="shared" si="21"/>
        <v>0</v>
      </c>
      <c r="J58" s="676">
        <f t="shared" si="21"/>
        <v>0</v>
      </c>
      <c r="K58" s="676">
        <f t="shared" si="21"/>
        <v>0</v>
      </c>
      <c r="L58" s="676">
        <f t="shared" si="21"/>
        <v>0</v>
      </c>
      <c r="M58" s="676">
        <f t="shared" si="21"/>
        <v>0</v>
      </c>
      <c r="N58" s="676">
        <f t="shared" si="21"/>
        <v>0</v>
      </c>
      <c r="O58" s="676">
        <f t="shared" si="21"/>
        <v>0</v>
      </c>
      <c r="P58" s="676">
        <f t="shared" si="21"/>
        <v>0</v>
      </c>
      <c r="Q58" s="676">
        <f t="shared" si="21"/>
        <v>0</v>
      </c>
      <c r="R58" s="676">
        <f t="shared" si="21"/>
        <v>0</v>
      </c>
      <c r="S58" s="676">
        <f t="shared" si="21"/>
        <v>0</v>
      </c>
      <c r="T58" s="676">
        <f t="shared" si="21"/>
        <v>0</v>
      </c>
      <c r="U58" s="676">
        <f t="shared" si="21"/>
        <v>0</v>
      </c>
      <c r="V58" s="676">
        <f t="shared" si="21"/>
        <v>0</v>
      </c>
      <c r="W58" s="359">
        <f t="shared" si="21"/>
        <v>0</v>
      </c>
      <c r="X58" s="359">
        <f t="shared" si="21"/>
        <v>0</v>
      </c>
      <c r="Y58" s="359">
        <f t="shared" si="21"/>
        <v>0</v>
      </c>
      <c r="Z58" s="361">
        <f t="shared" si="21"/>
        <v>0</v>
      </c>
      <c r="AA58" s="600"/>
    </row>
    <row r="59" spans="2:29" x14ac:dyDescent="0.25">
      <c r="AA59" s="600"/>
    </row>
    <row r="60" spans="2:29" x14ac:dyDescent="0.25">
      <c r="AA60" s="600"/>
    </row>
    <row r="61" spans="2:29" ht="13.35" customHeight="1" x14ac:dyDescent="0.25">
      <c r="B61" s="60" t="s">
        <v>35</v>
      </c>
      <c r="C61" s="1130" t="str">
        <f>Translations!$B$1316</f>
        <v>Aggregated CO2 emissions from all flights departing from each Member State to another Member State, to Switzerland, or to the UK</v>
      </c>
      <c r="D61" s="1129"/>
      <c r="E61" s="1129"/>
      <c r="F61" s="1129"/>
      <c r="G61" s="1129"/>
      <c r="H61" s="1129"/>
      <c r="I61" s="1129"/>
      <c r="J61" s="1129"/>
      <c r="K61" s="1129"/>
      <c r="L61" s="1129"/>
      <c r="M61" s="1129"/>
      <c r="N61" s="1129"/>
      <c r="O61" s="1129"/>
      <c r="P61" s="1129"/>
      <c r="Q61" s="1129"/>
      <c r="R61" s="1129"/>
      <c r="S61" s="1129"/>
      <c r="T61" s="1129"/>
      <c r="U61" s="1129"/>
      <c r="V61" s="1129"/>
      <c r="W61" s="1129"/>
      <c r="X61" s="1129"/>
      <c r="Y61" s="1129"/>
      <c r="Z61" s="964"/>
      <c r="AA61" s="600"/>
    </row>
    <row r="62" spans="2:29" ht="25.5" customHeight="1" thickBot="1" x14ac:dyDescent="0.3">
      <c r="C62" s="1200" t="s">
        <v>214</v>
      </c>
      <c r="D62" s="960"/>
      <c r="E62" s="960"/>
      <c r="F62" s="960"/>
      <c r="G62" s="960"/>
      <c r="H62" s="960"/>
      <c r="I62" s="960"/>
      <c r="J62" s="960"/>
      <c r="K62" s="960"/>
      <c r="L62" s="960"/>
      <c r="M62" s="960"/>
      <c r="N62" s="960"/>
      <c r="O62" s="960"/>
      <c r="P62" s="960"/>
      <c r="Q62" s="960"/>
      <c r="R62" s="960"/>
      <c r="S62" s="960"/>
      <c r="T62" s="960"/>
      <c r="U62" s="960"/>
      <c r="V62" s="960"/>
      <c r="W62" s="960"/>
      <c r="X62" s="960"/>
      <c r="Y62" s="960"/>
      <c r="Z62" s="960"/>
      <c r="AA62" s="313"/>
      <c r="AC62" s="914" t="s">
        <v>213</v>
      </c>
    </row>
    <row r="63" spans="2:29" x14ac:dyDescent="0.25">
      <c r="C63" s="138"/>
      <c r="D63" s="151"/>
      <c r="E63" s="1221" t="s">
        <v>202</v>
      </c>
      <c r="F63" s="1222"/>
      <c r="G63" s="1222"/>
      <c r="H63" s="1222"/>
      <c r="I63" s="1222"/>
      <c r="J63" s="1222"/>
      <c r="K63" s="1222"/>
      <c r="L63" s="1222"/>
      <c r="M63" s="1222"/>
      <c r="N63" s="1222"/>
      <c r="O63" s="1222"/>
      <c r="P63" s="1222"/>
      <c r="Q63" s="1222"/>
      <c r="R63" s="1222"/>
      <c r="S63" s="1222"/>
      <c r="T63" s="1222"/>
      <c r="U63" s="1222"/>
      <c r="V63" s="1222"/>
      <c r="W63" s="1232" t="s">
        <v>203</v>
      </c>
      <c r="X63" s="1232" t="s">
        <v>204</v>
      </c>
      <c r="Y63" s="1232" t="s">
        <v>205</v>
      </c>
      <c r="Z63" s="1223" t="str">
        <f>Translations!$B$1026</f>
        <v>Total number of flights</v>
      </c>
      <c r="AA63" s="600"/>
      <c r="AB63" s="147"/>
    </row>
    <row r="64" spans="2:29" ht="30.6" x14ac:dyDescent="0.25">
      <c r="C64" s="52" t="str">
        <f>Translations!$B$996</f>
        <v>Member State of departure</v>
      </c>
      <c r="D64" s="52" t="str">
        <f>Translations!$B$997</f>
        <v>State of arrival</v>
      </c>
      <c r="E64" s="52" t="str">
        <f>Translations!$B$981</f>
        <v>Jet kerosene (jet A1 or 
jet A)</v>
      </c>
      <c r="F64" s="52" t="str">
        <f>Translations!$B$274</f>
        <v>Jet gasoline (Jet B)</v>
      </c>
      <c r="G64" s="52" t="str">
        <f>Translations!$B$275</f>
        <v>Aviation gasoline (AvGas)</v>
      </c>
      <c r="H64" s="150" t="str">
        <f t="shared" ref="H64:V64" si="22">H$193</f>
        <v>4. HEFA</v>
      </c>
      <c r="I64" s="150" t="str">
        <f t="shared" si="22"/>
        <v>5. RFNBO EDDF</v>
      </c>
      <c r="J64" s="150" t="str">
        <f t="shared" si="22"/>
        <v>6. ATJ</v>
      </c>
      <c r="K64" s="150" t="str">
        <f t="shared" si="22"/>
        <v>Fuel 7</v>
      </c>
      <c r="L64" s="150" t="str">
        <f t="shared" si="22"/>
        <v>Fuel 8</v>
      </c>
      <c r="M64" s="150" t="str">
        <f t="shared" si="22"/>
        <v>Fuel 9</v>
      </c>
      <c r="N64" s="150" t="str">
        <f t="shared" si="22"/>
        <v>Fuel 10</v>
      </c>
      <c r="O64" s="150" t="str">
        <f t="shared" si="22"/>
        <v>Fuel 11</v>
      </c>
      <c r="P64" s="150" t="str">
        <f t="shared" si="22"/>
        <v>Fuel 12</v>
      </c>
      <c r="Q64" s="150" t="str">
        <f t="shared" si="22"/>
        <v>Fuel 13</v>
      </c>
      <c r="R64" s="150" t="str">
        <f t="shared" si="22"/>
        <v>Fuel 14</v>
      </c>
      <c r="S64" s="150" t="str">
        <f t="shared" si="22"/>
        <v>Fuel 15</v>
      </c>
      <c r="T64" s="150" t="str">
        <f t="shared" si="22"/>
        <v>Fuel 16</v>
      </c>
      <c r="U64" s="150" t="str">
        <f t="shared" si="22"/>
        <v>Fuel 17</v>
      </c>
      <c r="V64" s="150" t="str">
        <f t="shared" si="22"/>
        <v>Fuel 18</v>
      </c>
      <c r="W64" s="1233"/>
      <c r="X64" s="1233"/>
      <c r="Y64" s="1233"/>
      <c r="Z64" s="1224"/>
      <c r="AA64" s="600"/>
      <c r="AB64" s="147"/>
    </row>
    <row r="65" spans="3:28" x14ac:dyDescent="0.25">
      <c r="C65" s="677" t="s">
        <v>773</v>
      </c>
      <c r="D65" s="677" t="s">
        <v>788</v>
      </c>
      <c r="E65" s="678">
        <v>3000</v>
      </c>
      <c r="F65" s="678"/>
      <c r="G65" s="678"/>
      <c r="H65" s="678">
        <v>10</v>
      </c>
      <c r="I65" s="678"/>
      <c r="J65" s="678"/>
      <c r="K65" s="678"/>
      <c r="L65" s="678"/>
      <c r="M65" s="678"/>
      <c r="N65" s="678"/>
      <c r="O65" s="678"/>
      <c r="P65" s="678"/>
      <c r="Q65" s="678"/>
      <c r="R65" s="678"/>
      <c r="S65" s="678"/>
      <c r="T65" s="678"/>
      <c r="U65" s="678"/>
      <c r="V65" s="678"/>
      <c r="W65" s="359">
        <f t="shared" ref="W65:W89" si="23">SUMPRODUCT(E65:V65,$E$196:$V$196)</f>
        <v>9480</v>
      </c>
      <c r="X65" s="359">
        <f t="shared" ref="X65:X89" si="24">Y65-W65</f>
        <v>31.600000000000364</v>
      </c>
      <c r="Y65" s="359">
        <f t="shared" ref="Y65:Y89" si="25">SUMPRODUCT(E65:V65,$E$195:$V$195)</f>
        <v>9511.6</v>
      </c>
      <c r="Z65" s="679"/>
      <c r="AA65" s="600"/>
      <c r="AB65" s="147"/>
    </row>
    <row r="66" spans="3:28" x14ac:dyDescent="0.25">
      <c r="C66" s="677" t="s">
        <v>773</v>
      </c>
      <c r="D66" s="677" t="s">
        <v>791</v>
      </c>
      <c r="E66" s="678">
        <v>1500</v>
      </c>
      <c r="F66" s="678"/>
      <c r="G66" s="678"/>
      <c r="H66" s="678">
        <v>20</v>
      </c>
      <c r="I66" s="678"/>
      <c r="J66" s="678"/>
      <c r="K66" s="678"/>
      <c r="L66" s="678"/>
      <c r="M66" s="678"/>
      <c r="N66" s="678"/>
      <c r="O66" s="678"/>
      <c r="P66" s="678"/>
      <c r="Q66" s="678"/>
      <c r="R66" s="678"/>
      <c r="S66" s="678"/>
      <c r="T66" s="678"/>
      <c r="U66" s="678"/>
      <c r="V66" s="678"/>
      <c r="W66" s="359">
        <f t="shared" si="23"/>
        <v>4740</v>
      </c>
      <c r="X66" s="359">
        <f t="shared" si="24"/>
        <v>63.199999999999818</v>
      </c>
      <c r="Y66" s="359">
        <f t="shared" si="25"/>
        <v>4803.2</v>
      </c>
      <c r="Z66" s="679"/>
      <c r="AA66" s="600"/>
      <c r="AB66" s="147"/>
    </row>
    <row r="67" spans="3:28" x14ac:dyDescent="0.25">
      <c r="C67" s="677" t="s">
        <v>773</v>
      </c>
      <c r="D67" s="677" t="s">
        <v>768</v>
      </c>
      <c r="E67" s="678">
        <v>500</v>
      </c>
      <c r="F67" s="678"/>
      <c r="G67" s="678"/>
      <c r="H67" s="678"/>
      <c r="I67" s="678">
        <v>5</v>
      </c>
      <c r="J67" s="678"/>
      <c r="K67" s="678"/>
      <c r="L67" s="678"/>
      <c r="M67" s="678"/>
      <c r="N67" s="678"/>
      <c r="O67" s="678"/>
      <c r="P67" s="678"/>
      <c r="Q67" s="678"/>
      <c r="R67" s="678"/>
      <c r="S67" s="678"/>
      <c r="T67" s="678"/>
      <c r="U67" s="678"/>
      <c r="V67" s="678"/>
      <c r="W67" s="359">
        <f t="shared" si="23"/>
        <v>1580</v>
      </c>
      <c r="X67" s="359">
        <f t="shared" si="24"/>
        <v>15.799999999999955</v>
      </c>
      <c r="Y67" s="359">
        <f t="shared" si="25"/>
        <v>1595.8</v>
      </c>
      <c r="Z67" s="679"/>
      <c r="AA67" s="600"/>
      <c r="AB67" s="147"/>
    </row>
    <row r="68" spans="3:28" x14ac:dyDescent="0.25">
      <c r="C68" s="677" t="s">
        <v>773</v>
      </c>
      <c r="D68" s="677" t="s">
        <v>778</v>
      </c>
      <c r="E68" s="678">
        <v>5000</v>
      </c>
      <c r="F68" s="678"/>
      <c r="G68" s="678"/>
      <c r="H68" s="678"/>
      <c r="I68" s="678"/>
      <c r="J68" s="678">
        <v>2</v>
      </c>
      <c r="K68" s="678"/>
      <c r="L68" s="678"/>
      <c r="M68" s="678"/>
      <c r="N68" s="678"/>
      <c r="O68" s="678"/>
      <c r="P68" s="678"/>
      <c r="Q68" s="678"/>
      <c r="R68" s="678"/>
      <c r="S68" s="678"/>
      <c r="T68" s="678"/>
      <c r="U68" s="678"/>
      <c r="V68" s="678"/>
      <c r="W68" s="359">
        <f t="shared" si="23"/>
        <v>15806.32</v>
      </c>
      <c r="X68" s="359">
        <f t="shared" si="24"/>
        <v>0</v>
      </c>
      <c r="Y68" s="359">
        <f t="shared" si="25"/>
        <v>15806.32</v>
      </c>
      <c r="Z68" s="679"/>
      <c r="AA68" s="600"/>
      <c r="AB68" s="147"/>
    </row>
    <row r="69" spans="3:28" x14ac:dyDescent="0.25">
      <c r="C69" s="677" t="s">
        <v>788</v>
      </c>
      <c r="D69" s="677" t="s">
        <v>773</v>
      </c>
      <c r="E69" s="678">
        <v>3000</v>
      </c>
      <c r="F69" s="678"/>
      <c r="G69" s="678"/>
      <c r="H69" s="678">
        <v>30</v>
      </c>
      <c r="I69" s="678"/>
      <c r="J69" s="678"/>
      <c r="K69" s="678"/>
      <c r="L69" s="678"/>
      <c r="M69" s="678"/>
      <c r="N69" s="678"/>
      <c r="O69" s="678"/>
      <c r="P69" s="678"/>
      <c r="Q69" s="678"/>
      <c r="R69" s="678"/>
      <c r="S69" s="678"/>
      <c r="T69" s="678"/>
      <c r="U69" s="678"/>
      <c r="V69" s="678"/>
      <c r="W69" s="359">
        <f t="shared" si="23"/>
        <v>9480</v>
      </c>
      <c r="X69" s="359">
        <f t="shared" si="24"/>
        <v>94.799999999999272</v>
      </c>
      <c r="Y69" s="359">
        <f t="shared" si="25"/>
        <v>9574.7999999999993</v>
      </c>
      <c r="Z69" s="679"/>
      <c r="AA69" s="600"/>
      <c r="AB69" s="147"/>
    </row>
    <row r="70" spans="3:28" x14ac:dyDescent="0.25">
      <c r="C70" s="677" t="s">
        <v>791</v>
      </c>
      <c r="D70" s="677" t="s">
        <v>773</v>
      </c>
      <c r="E70" s="678">
        <v>1500</v>
      </c>
      <c r="F70" s="678"/>
      <c r="G70" s="678"/>
      <c r="H70" s="678">
        <v>20</v>
      </c>
      <c r="I70" s="678"/>
      <c r="J70" s="678"/>
      <c r="K70" s="678"/>
      <c r="L70" s="678"/>
      <c r="M70" s="678"/>
      <c r="N70" s="678"/>
      <c r="O70" s="678"/>
      <c r="P70" s="678"/>
      <c r="Q70" s="678"/>
      <c r="R70" s="678"/>
      <c r="S70" s="678"/>
      <c r="T70" s="678"/>
      <c r="U70" s="678"/>
      <c r="V70" s="678"/>
      <c r="W70" s="359">
        <f t="shared" si="23"/>
        <v>4740</v>
      </c>
      <c r="X70" s="359">
        <f t="shared" si="24"/>
        <v>63.199999999999818</v>
      </c>
      <c r="Y70" s="359">
        <f t="shared" si="25"/>
        <v>4803.2</v>
      </c>
      <c r="Z70" s="679"/>
      <c r="AA70" s="600"/>
      <c r="AB70" s="147"/>
    </row>
    <row r="71" spans="3:28" x14ac:dyDescent="0.25">
      <c r="C71" s="677" t="s">
        <v>768</v>
      </c>
      <c r="D71" s="677" t="s">
        <v>773</v>
      </c>
      <c r="E71" s="678">
        <v>600</v>
      </c>
      <c r="F71" s="678"/>
      <c r="G71" s="678"/>
      <c r="H71" s="678">
        <v>10</v>
      </c>
      <c r="I71" s="678"/>
      <c r="J71" s="678"/>
      <c r="K71" s="678"/>
      <c r="L71" s="678"/>
      <c r="M71" s="678"/>
      <c r="N71" s="678"/>
      <c r="O71" s="678"/>
      <c r="P71" s="678"/>
      <c r="Q71" s="678"/>
      <c r="R71" s="678"/>
      <c r="S71" s="678"/>
      <c r="T71" s="678"/>
      <c r="U71" s="678"/>
      <c r="V71" s="678"/>
      <c r="W71" s="359">
        <f t="shared" si="23"/>
        <v>1896</v>
      </c>
      <c r="X71" s="359">
        <f t="shared" si="24"/>
        <v>31.599999999999909</v>
      </c>
      <c r="Y71" s="359">
        <f t="shared" si="25"/>
        <v>1927.6</v>
      </c>
      <c r="Z71" s="679"/>
      <c r="AA71" s="600"/>
      <c r="AB71" s="147"/>
    </row>
    <row r="72" spans="3:28" x14ac:dyDescent="0.25">
      <c r="C72" s="677" t="s">
        <v>778</v>
      </c>
      <c r="D72" s="677" t="s">
        <v>773</v>
      </c>
      <c r="E72" s="678">
        <v>5000</v>
      </c>
      <c r="F72" s="678"/>
      <c r="G72" s="678"/>
      <c r="H72" s="678"/>
      <c r="I72" s="678"/>
      <c r="J72" s="678"/>
      <c r="K72" s="678"/>
      <c r="L72" s="678"/>
      <c r="M72" s="678"/>
      <c r="N72" s="678"/>
      <c r="O72" s="678"/>
      <c r="P72" s="678"/>
      <c r="Q72" s="678"/>
      <c r="R72" s="678"/>
      <c r="S72" s="678"/>
      <c r="T72" s="678"/>
      <c r="U72" s="678"/>
      <c r="V72" s="678"/>
      <c r="W72" s="359">
        <f t="shared" si="23"/>
        <v>15800</v>
      </c>
      <c r="X72" s="359">
        <f t="shared" si="24"/>
        <v>0</v>
      </c>
      <c r="Y72" s="359">
        <f t="shared" si="25"/>
        <v>15800</v>
      </c>
      <c r="Z72" s="679"/>
      <c r="AA72" s="600"/>
      <c r="AB72" s="147"/>
    </row>
    <row r="73" spans="3:28" x14ac:dyDescent="0.25">
      <c r="C73" s="677"/>
      <c r="D73" s="677"/>
      <c r="E73" s="678"/>
      <c r="F73" s="678"/>
      <c r="G73" s="678"/>
      <c r="H73" s="678"/>
      <c r="I73" s="678"/>
      <c r="J73" s="678"/>
      <c r="K73" s="678"/>
      <c r="L73" s="678"/>
      <c r="M73" s="678"/>
      <c r="N73" s="678"/>
      <c r="O73" s="678"/>
      <c r="P73" s="678"/>
      <c r="Q73" s="678"/>
      <c r="R73" s="678"/>
      <c r="S73" s="678"/>
      <c r="T73" s="678"/>
      <c r="U73" s="678"/>
      <c r="V73" s="678"/>
      <c r="W73" s="359">
        <f t="shared" si="23"/>
        <v>0</v>
      </c>
      <c r="X73" s="359">
        <f t="shared" si="24"/>
        <v>0</v>
      </c>
      <c r="Y73" s="359">
        <f t="shared" si="25"/>
        <v>0</v>
      </c>
      <c r="Z73" s="679"/>
      <c r="AA73" s="600"/>
      <c r="AB73" s="147"/>
    </row>
    <row r="74" spans="3:28" x14ac:dyDescent="0.25">
      <c r="C74" s="677"/>
      <c r="D74" s="677"/>
      <c r="E74" s="678"/>
      <c r="F74" s="678"/>
      <c r="G74" s="678"/>
      <c r="H74" s="678"/>
      <c r="I74" s="678"/>
      <c r="J74" s="678"/>
      <c r="K74" s="678"/>
      <c r="L74" s="678"/>
      <c r="M74" s="678"/>
      <c r="N74" s="678"/>
      <c r="O74" s="678"/>
      <c r="P74" s="678"/>
      <c r="Q74" s="678"/>
      <c r="R74" s="678"/>
      <c r="S74" s="678"/>
      <c r="T74" s="678"/>
      <c r="U74" s="678"/>
      <c r="V74" s="678"/>
      <c r="W74" s="359">
        <f t="shared" si="23"/>
        <v>0</v>
      </c>
      <c r="X74" s="359">
        <f t="shared" si="24"/>
        <v>0</v>
      </c>
      <c r="Y74" s="359">
        <f t="shared" si="25"/>
        <v>0</v>
      </c>
      <c r="Z74" s="679"/>
      <c r="AA74" s="600"/>
      <c r="AB74" s="147"/>
    </row>
    <row r="75" spans="3:28" x14ac:dyDescent="0.25">
      <c r="C75" s="677"/>
      <c r="D75" s="677"/>
      <c r="E75" s="678"/>
      <c r="F75" s="678"/>
      <c r="G75" s="678"/>
      <c r="H75" s="678"/>
      <c r="I75" s="678"/>
      <c r="J75" s="678"/>
      <c r="K75" s="678"/>
      <c r="L75" s="678"/>
      <c r="M75" s="678"/>
      <c r="N75" s="678"/>
      <c r="O75" s="678"/>
      <c r="P75" s="678"/>
      <c r="Q75" s="678"/>
      <c r="R75" s="678"/>
      <c r="S75" s="678"/>
      <c r="T75" s="678"/>
      <c r="U75" s="678"/>
      <c r="V75" s="678"/>
      <c r="W75" s="359">
        <f t="shared" si="23"/>
        <v>0</v>
      </c>
      <c r="X75" s="359">
        <f t="shared" si="24"/>
        <v>0</v>
      </c>
      <c r="Y75" s="359">
        <f t="shared" si="25"/>
        <v>0</v>
      </c>
      <c r="Z75" s="679"/>
      <c r="AA75" s="600"/>
      <c r="AB75" s="147"/>
    </row>
    <row r="76" spans="3:28" x14ac:dyDescent="0.25">
      <c r="C76" s="677"/>
      <c r="D76" s="677"/>
      <c r="E76" s="678"/>
      <c r="F76" s="678"/>
      <c r="G76" s="678"/>
      <c r="H76" s="678"/>
      <c r="I76" s="678"/>
      <c r="J76" s="678"/>
      <c r="K76" s="678"/>
      <c r="L76" s="678"/>
      <c r="M76" s="678"/>
      <c r="N76" s="678"/>
      <c r="O76" s="678"/>
      <c r="P76" s="678"/>
      <c r="Q76" s="678"/>
      <c r="R76" s="678"/>
      <c r="S76" s="678"/>
      <c r="T76" s="678"/>
      <c r="U76" s="678"/>
      <c r="V76" s="678"/>
      <c r="W76" s="359">
        <f t="shared" si="23"/>
        <v>0</v>
      </c>
      <c r="X76" s="359">
        <f t="shared" si="24"/>
        <v>0</v>
      </c>
      <c r="Y76" s="359">
        <f t="shared" si="25"/>
        <v>0</v>
      </c>
      <c r="Z76" s="679"/>
      <c r="AA76" s="600"/>
      <c r="AB76" s="147"/>
    </row>
    <row r="77" spans="3:28" x14ac:dyDescent="0.25">
      <c r="C77" s="677"/>
      <c r="D77" s="677"/>
      <c r="E77" s="678"/>
      <c r="F77" s="678"/>
      <c r="G77" s="678"/>
      <c r="H77" s="678"/>
      <c r="I77" s="678"/>
      <c r="J77" s="678"/>
      <c r="K77" s="678"/>
      <c r="L77" s="678"/>
      <c r="M77" s="678"/>
      <c r="N77" s="678"/>
      <c r="O77" s="678"/>
      <c r="P77" s="678"/>
      <c r="Q77" s="678"/>
      <c r="R77" s="678"/>
      <c r="S77" s="678"/>
      <c r="T77" s="678"/>
      <c r="U77" s="678"/>
      <c r="V77" s="678"/>
      <c r="W77" s="359">
        <f t="shared" si="23"/>
        <v>0</v>
      </c>
      <c r="X77" s="359">
        <f t="shared" si="24"/>
        <v>0</v>
      </c>
      <c r="Y77" s="359">
        <f t="shared" si="25"/>
        <v>0</v>
      </c>
      <c r="Z77" s="679"/>
      <c r="AA77" s="600"/>
      <c r="AB77" s="147"/>
    </row>
    <row r="78" spans="3:28" x14ac:dyDescent="0.25">
      <c r="C78" s="677"/>
      <c r="D78" s="677"/>
      <c r="E78" s="678"/>
      <c r="F78" s="678"/>
      <c r="G78" s="678"/>
      <c r="H78" s="678"/>
      <c r="I78" s="678"/>
      <c r="J78" s="678"/>
      <c r="K78" s="678"/>
      <c r="L78" s="678"/>
      <c r="M78" s="678"/>
      <c r="N78" s="678"/>
      <c r="O78" s="678"/>
      <c r="P78" s="678"/>
      <c r="Q78" s="678"/>
      <c r="R78" s="678"/>
      <c r="S78" s="678"/>
      <c r="T78" s="678"/>
      <c r="U78" s="678"/>
      <c r="V78" s="678"/>
      <c r="W78" s="359">
        <f t="shared" si="23"/>
        <v>0</v>
      </c>
      <c r="X78" s="359">
        <f t="shared" si="24"/>
        <v>0</v>
      </c>
      <c r="Y78" s="359">
        <f t="shared" si="25"/>
        <v>0</v>
      </c>
      <c r="Z78" s="679"/>
      <c r="AA78" s="600"/>
      <c r="AB78" s="147"/>
    </row>
    <row r="79" spans="3:28" x14ac:dyDescent="0.25">
      <c r="C79" s="677"/>
      <c r="D79" s="677"/>
      <c r="E79" s="678"/>
      <c r="F79" s="678"/>
      <c r="G79" s="678"/>
      <c r="H79" s="678"/>
      <c r="I79" s="678"/>
      <c r="J79" s="678"/>
      <c r="K79" s="678"/>
      <c r="L79" s="678"/>
      <c r="M79" s="678"/>
      <c r="N79" s="678"/>
      <c r="O79" s="678"/>
      <c r="P79" s="678"/>
      <c r="Q79" s="678"/>
      <c r="R79" s="678"/>
      <c r="S79" s="678"/>
      <c r="T79" s="678"/>
      <c r="U79" s="678"/>
      <c r="V79" s="678"/>
      <c r="W79" s="359">
        <f t="shared" si="23"/>
        <v>0</v>
      </c>
      <c r="X79" s="359">
        <f t="shared" si="24"/>
        <v>0</v>
      </c>
      <c r="Y79" s="359">
        <f t="shared" si="25"/>
        <v>0</v>
      </c>
      <c r="Z79" s="679"/>
      <c r="AA79" s="600"/>
      <c r="AB79" s="147"/>
    </row>
    <row r="80" spans="3:28" x14ac:dyDescent="0.25">
      <c r="C80" s="677"/>
      <c r="D80" s="677"/>
      <c r="E80" s="678"/>
      <c r="F80" s="678"/>
      <c r="G80" s="678"/>
      <c r="H80" s="678"/>
      <c r="I80" s="678"/>
      <c r="J80" s="678"/>
      <c r="K80" s="678"/>
      <c r="L80" s="678"/>
      <c r="M80" s="678"/>
      <c r="N80" s="678"/>
      <c r="O80" s="678"/>
      <c r="P80" s="678"/>
      <c r="Q80" s="678"/>
      <c r="R80" s="678"/>
      <c r="S80" s="678"/>
      <c r="T80" s="678"/>
      <c r="U80" s="678"/>
      <c r="V80" s="678"/>
      <c r="W80" s="359">
        <f t="shared" si="23"/>
        <v>0</v>
      </c>
      <c r="X80" s="359">
        <f t="shared" si="24"/>
        <v>0</v>
      </c>
      <c r="Y80" s="359">
        <f t="shared" si="25"/>
        <v>0</v>
      </c>
      <c r="Z80" s="679"/>
      <c r="AA80" s="600"/>
      <c r="AB80" s="147"/>
    </row>
    <row r="81" spans="1:29" x14ac:dyDescent="0.25">
      <c r="C81" s="677"/>
      <c r="D81" s="677"/>
      <c r="E81" s="678"/>
      <c r="F81" s="678"/>
      <c r="G81" s="678"/>
      <c r="H81" s="678"/>
      <c r="I81" s="678"/>
      <c r="J81" s="678"/>
      <c r="K81" s="678"/>
      <c r="L81" s="678"/>
      <c r="M81" s="678"/>
      <c r="N81" s="678"/>
      <c r="O81" s="678"/>
      <c r="P81" s="678"/>
      <c r="Q81" s="678"/>
      <c r="R81" s="678"/>
      <c r="S81" s="678"/>
      <c r="T81" s="678"/>
      <c r="U81" s="678"/>
      <c r="V81" s="678"/>
      <c r="W81" s="359">
        <f t="shared" si="23"/>
        <v>0</v>
      </c>
      <c r="X81" s="359">
        <f t="shared" si="24"/>
        <v>0</v>
      </c>
      <c r="Y81" s="359">
        <f t="shared" si="25"/>
        <v>0</v>
      </c>
      <c r="Z81" s="679"/>
      <c r="AA81" s="600"/>
      <c r="AB81" s="147"/>
    </row>
    <row r="82" spans="1:29" x14ac:dyDescent="0.25">
      <c r="C82" s="677"/>
      <c r="D82" s="677"/>
      <c r="E82" s="678"/>
      <c r="F82" s="678"/>
      <c r="G82" s="678"/>
      <c r="H82" s="678"/>
      <c r="I82" s="678"/>
      <c r="J82" s="678"/>
      <c r="K82" s="678"/>
      <c r="L82" s="678"/>
      <c r="M82" s="678"/>
      <c r="N82" s="678"/>
      <c r="O82" s="678"/>
      <c r="P82" s="678"/>
      <c r="Q82" s="678"/>
      <c r="R82" s="678"/>
      <c r="S82" s="678"/>
      <c r="T82" s="678"/>
      <c r="U82" s="678"/>
      <c r="V82" s="678"/>
      <c r="W82" s="359">
        <f t="shared" si="23"/>
        <v>0</v>
      </c>
      <c r="X82" s="359">
        <f t="shared" si="24"/>
        <v>0</v>
      </c>
      <c r="Y82" s="359">
        <f t="shared" si="25"/>
        <v>0</v>
      </c>
      <c r="Z82" s="679"/>
      <c r="AA82" s="600"/>
      <c r="AB82" s="147"/>
    </row>
    <row r="83" spans="1:29" x14ac:dyDescent="0.25">
      <c r="C83" s="677"/>
      <c r="D83" s="677"/>
      <c r="E83" s="678"/>
      <c r="F83" s="678"/>
      <c r="G83" s="678"/>
      <c r="H83" s="678"/>
      <c r="I83" s="678"/>
      <c r="J83" s="678"/>
      <c r="K83" s="678"/>
      <c r="L83" s="678"/>
      <c r="M83" s="678"/>
      <c r="N83" s="678"/>
      <c r="O83" s="678"/>
      <c r="P83" s="678"/>
      <c r="Q83" s="678"/>
      <c r="R83" s="678"/>
      <c r="S83" s="678"/>
      <c r="T83" s="678"/>
      <c r="U83" s="678"/>
      <c r="V83" s="678"/>
      <c r="W83" s="359">
        <f t="shared" si="23"/>
        <v>0</v>
      </c>
      <c r="X83" s="359">
        <f t="shared" si="24"/>
        <v>0</v>
      </c>
      <c r="Y83" s="359">
        <f t="shared" si="25"/>
        <v>0</v>
      </c>
      <c r="Z83" s="679"/>
      <c r="AA83" s="600"/>
      <c r="AB83" s="147"/>
    </row>
    <row r="84" spans="1:29" x14ac:dyDescent="0.25">
      <c r="C84" s="677"/>
      <c r="D84" s="677"/>
      <c r="E84" s="678"/>
      <c r="F84" s="678"/>
      <c r="G84" s="678"/>
      <c r="H84" s="678"/>
      <c r="I84" s="678"/>
      <c r="J84" s="678"/>
      <c r="K84" s="678"/>
      <c r="L84" s="678"/>
      <c r="M84" s="678"/>
      <c r="N84" s="678"/>
      <c r="O84" s="678"/>
      <c r="P84" s="678"/>
      <c r="Q84" s="678"/>
      <c r="R84" s="678"/>
      <c r="S84" s="678"/>
      <c r="T84" s="678"/>
      <c r="U84" s="678"/>
      <c r="V84" s="678"/>
      <c r="W84" s="359">
        <f t="shared" si="23"/>
        <v>0</v>
      </c>
      <c r="X84" s="359">
        <f t="shared" si="24"/>
        <v>0</v>
      </c>
      <c r="Y84" s="359">
        <f t="shared" si="25"/>
        <v>0</v>
      </c>
      <c r="Z84" s="679"/>
      <c r="AA84" s="600"/>
      <c r="AB84" s="147"/>
    </row>
    <row r="85" spans="1:29" x14ac:dyDescent="0.25">
      <c r="C85" s="677"/>
      <c r="D85" s="677"/>
      <c r="E85" s="678"/>
      <c r="F85" s="678"/>
      <c r="G85" s="678"/>
      <c r="H85" s="678"/>
      <c r="I85" s="678"/>
      <c r="J85" s="678"/>
      <c r="K85" s="678"/>
      <c r="L85" s="678"/>
      <c r="M85" s="678"/>
      <c r="N85" s="678"/>
      <c r="O85" s="678"/>
      <c r="P85" s="678"/>
      <c r="Q85" s="678"/>
      <c r="R85" s="678"/>
      <c r="S85" s="678"/>
      <c r="T85" s="678"/>
      <c r="U85" s="678"/>
      <c r="V85" s="678"/>
      <c r="W85" s="359">
        <f t="shared" si="23"/>
        <v>0</v>
      </c>
      <c r="X85" s="359">
        <f t="shared" si="24"/>
        <v>0</v>
      </c>
      <c r="Y85" s="359">
        <f t="shared" si="25"/>
        <v>0</v>
      </c>
      <c r="Z85" s="679"/>
      <c r="AA85" s="600"/>
      <c r="AB85" s="147"/>
    </row>
    <row r="86" spans="1:29" x14ac:dyDescent="0.25">
      <c r="C86" s="677"/>
      <c r="D86" s="677"/>
      <c r="E86" s="678"/>
      <c r="F86" s="678"/>
      <c r="G86" s="678"/>
      <c r="H86" s="678"/>
      <c r="I86" s="678"/>
      <c r="J86" s="678"/>
      <c r="K86" s="678"/>
      <c r="L86" s="678"/>
      <c r="M86" s="678"/>
      <c r="N86" s="678"/>
      <c r="O86" s="678"/>
      <c r="P86" s="678"/>
      <c r="Q86" s="678"/>
      <c r="R86" s="678"/>
      <c r="S86" s="678"/>
      <c r="T86" s="678"/>
      <c r="U86" s="678"/>
      <c r="V86" s="678"/>
      <c r="W86" s="359">
        <f t="shared" si="23"/>
        <v>0</v>
      </c>
      <c r="X86" s="359">
        <f t="shared" si="24"/>
        <v>0</v>
      </c>
      <c r="Y86" s="359">
        <f t="shared" si="25"/>
        <v>0</v>
      </c>
      <c r="Z86" s="679"/>
      <c r="AA86" s="600"/>
      <c r="AB86" s="147"/>
    </row>
    <row r="87" spans="1:29" x14ac:dyDescent="0.25">
      <c r="C87" s="677"/>
      <c r="D87" s="677"/>
      <c r="E87" s="678"/>
      <c r="F87" s="678"/>
      <c r="G87" s="678"/>
      <c r="H87" s="678"/>
      <c r="I87" s="678"/>
      <c r="J87" s="678"/>
      <c r="K87" s="678"/>
      <c r="L87" s="678"/>
      <c r="M87" s="678"/>
      <c r="N87" s="678"/>
      <c r="O87" s="678"/>
      <c r="P87" s="678"/>
      <c r="Q87" s="678"/>
      <c r="R87" s="678"/>
      <c r="S87" s="678"/>
      <c r="T87" s="678"/>
      <c r="U87" s="678"/>
      <c r="V87" s="678"/>
      <c r="W87" s="359">
        <f t="shared" si="23"/>
        <v>0</v>
      </c>
      <c r="X87" s="359">
        <f t="shared" si="24"/>
        <v>0</v>
      </c>
      <c r="Y87" s="359">
        <f t="shared" si="25"/>
        <v>0</v>
      </c>
      <c r="Z87" s="679"/>
      <c r="AA87" s="600"/>
      <c r="AB87" s="147"/>
    </row>
    <row r="88" spans="1:29" x14ac:dyDescent="0.25">
      <c r="C88" s="677"/>
      <c r="D88" s="677"/>
      <c r="E88" s="678"/>
      <c r="F88" s="678"/>
      <c r="G88" s="678"/>
      <c r="H88" s="678"/>
      <c r="I88" s="678"/>
      <c r="J88" s="678"/>
      <c r="K88" s="678"/>
      <c r="L88" s="678"/>
      <c r="M88" s="678"/>
      <c r="N88" s="678"/>
      <c r="O88" s="678"/>
      <c r="P88" s="678"/>
      <c r="Q88" s="678"/>
      <c r="R88" s="678"/>
      <c r="S88" s="678"/>
      <c r="T88" s="678"/>
      <c r="U88" s="678"/>
      <c r="V88" s="678"/>
      <c r="W88" s="359">
        <f t="shared" si="23"/>
        <v>0</v>
      </c>
      <c r="X88" s="359">
        <f t="shared" si="24"/>
        <v>0</v>
      </c>
      <c r="Y88" s="359">
        <f t="shared" si="25"/>
        <v>0</v>
      </c>
      <c r="Z88" s="679"/>
      <c r="AA88" s="600"/>
      <c r="AB88" s="147"/>
    </row>
    <row r="89" spans="1:29" x14ac:dyDescent="0.25">
      <c r="C89" s="677"/>
      <c r="D89" s="677"/>
      <c r="E89" s="678"/>
      <c r="F89" s="678"/>
      <c r="G89" s="678"/>
      <c r="H89" s="678"/>
      <c r="I89" s="678"/>
      <c r="J89" s="678"/>
      <c r="K89" s="678"/>
      <c r="L89" s="678"/>
      <c r="M89" s="678"/>
      <c r="N89" s="678"/>
      <c r="O89" s="678"/>
      <c r="P89" s="678"/>
      <c r="Q89" s="678"/>
      <c r="R89" s="678"/>
      <c r="S89" s="678"/>
      <c r="T89" s="678"/>
      <c r="U89" s="678"/>
      <c r="V89" s="678"/>
      <c r="W89" s="359">
        <f t="shared" si="23"/>
        <v>0</v>
      </c>
      <c r="X89" s="359">
        <f t="shared" si="24"/>
        <v>0</v>
      </c>
      <c r="Y89" s="359">
        <f t="shared" si="25"/>
        <v>0</v>
      </c>
      <c r="Z89" s="679"/>
      <c r="AA89" s="600"/>
      <c r="AB89" s="147"/>
    </row>
    <row r="90" spans="1:29" x14ac:dyDescent="0.25">
      <c r="C90" s="142" t="s">
        <v>216</v>
      </c>
      <c r="D90" s="139"/>
      <c r="E90" s="155"/>
      <c r="F90" s="155"/>
      <c r="G90" s="155"/>
      <c r="H90" s="155"/>
      <c r="I90" s="156"/>
      <c r="J90" s="156"/>
      <c r="K90" s="156"/>
      <c r="L90" s="156"/>
      <c r="M90" s="156"/>
      <c r="N90" s="156"/>
      <c r="O90" s="156"/>
      <c r="P90" s="156"/>
      <c r="Q90" s="156"/>
      <c r="R90" s="156"/>
      <c r="S90" s="156"/>
      <c r="T90" s="156"/>
      <c r="U90" s="156"/>
      <c r="V90" s="156"/>
      <c r="W90" s="362"/>
      <c r="X90" s="362"/>
      <c r="Y90" s="362"/>
      <c r="Z90" s="363"/>
      <c r="AA90" s="600"/>
      <c r="AB90" s="147"/>
      <c r="AC90" s="914" t="s">
        <v>217</v>
      </c>
    </row>
    <row r="91" spans="1:29" ht="51" customHeight="1" thickBot="1" x14ac:dyDescent="0.3">
      <c r="C91" s="1219" t="str">
        <f>Translations!$B$1316</f>
        <v>Aggregated CO2 emissions from all flights departing from each Member State to another Member State, to Switzerland, or to the UK</v>
      </c>
      <c r="D91" s="1220"/>
      <c r="E91" s="171">
        <f>SUM(E65:E90)</f>
        <v>20100</v>
      </c>
      <c r="F91" s="171">
        <f t="shared" ref="F91:V91" si="26">SUM(F65:F90)</f>
        <v>0</v>
      </c>
      <c r="G91" s="171">
        <f t="shared" si="26"/>
        <v>0</v>
      </c>
      <c r="H91" s="171">
        <f t="shared" si="26"/>
        <v>90</v>
      </c>
      <c r="I91" s="171">
        <f t="shared" si="26"/>
        <v>5</v>
      </c>
      <c r="J91" s="171">
        <f t="shared" si="26"/>
        <v>2</v>
      </c>
      <c r="K91" s="171">
        <f t="shared" si="26"/>
        <v>0</v>
      </c>
      <c r="L91" s="171">
        <f t="shared" si="26"/>
        <v>0</v>
      </c>
      <c r="M91" s="171">
        <f t="shared" si="26"/>
        <v>0</v>
      </c>
      <c r="N91" s="171">
        <f t="shared" si="26"/>
        <v>0</v>
      </c>
      <c r="O91" s="171">
        <f t="shared" si="26"/>
        <v>0</v>
      </c>
      <c r="P91" s="171">
        <f t="shared" si="26"/>
        <v>0</v>
      </c>
      <c r="Q91" s="171">
        <f t="shared" si="26"/>
        <v>0</v>
      </c>
      <c r="R91" s="171">
        <f t="shared" si="26"/>
        <v>0</v>
      </c>
      <c r="S91" s="171">
        <f t="shared" si="26"/>
        <v>0</v>
      </c>
      <c r="T91" s="171">
        <f t="shared" si="26"/>
        <v>0</v>
      </c>
      <c r="U91" s="171">
        <f t="shared" si="26"/>
        <v>0</v>
      </c>
      <c r="V91" s="171">
        <f t="shared" si="26"/>
        <v>0</v>
      </c>
      <c r="W91" s="359">
        <f>SUM(W65:W90)</f>
        <v>63522.32</v>
      </c>
      <c r="X91" s="359">
        <f>SUM(X65:X90)</f>
        <v>300.19999999999914</v>
      </c>
      <c r="Y91" s="359">
        <f>SUM(Y65:Y90)</f>
        <v>63822.52</v>
      </c>
      <c r="Z91" s="361">
        <f>SUM(Z65:Z90)</f>
        <v>0</v>
      </c>
      <c r="AA91" s="600"/>
    </row>
    <row r="92" spans="1:29" x14ac:dyDescent="0.25">
      <c r="C92" s="157"/>
      <c r="D92" s="157"/>
      <c r="E92" s="157"/>
      <c r="F92" s="157"/>
      <c r="G92" s="157"/>
      <c r="H92" s="157"/>
      <c r="I92" s="157"/>
      <c r="J92" s="157"/>
      <c r="K92" s="157"/>
      <c r="L92" s="157"/>
      <c r="M92" s="157"/>
      <c r="N92" s="157"/>
      <c r="O92" s="157"/>
      <c r="P92" s="157"/>
      <c r="Q92" s="157"/>
      <c r="R92" s="157"/>
      <c r="S92" s="157"/>
      <c r="T92" s="157"/>
      <c r="U92" s="157"/>
      <c r="V92" s="157"/>
      <c r="W92" s="158"/>
      <c r="X92" s="158"/>
      <c r="Y92" s="158"/>
      <c r="AA92" s="600"/>
    </row>
    <row r="93" spans="1:29" ht="12.75" hidden="1" customHeight="1" x14ac:dyDescent="0.25">
      <c r="A93" s="324"/>
      <c r="B93" s="60" t="s">
        <v>36</v>
      </c>
      <c r="C93" s="1130" t="str">
        <f>Translations!$B$999</f>
        <v>Aggregated CO2 emissions from all flights arriving at each Member State from a third country:</v>
      </c>
      <c r="D93" s="1129"/>
      <c r="E93" s="1129"/>
      <c r="F93" s="1129"/>
      <c r="G93" s="1129"/>
      <c r="H93" s="1129"/>
      <c r="I93" s="1129"/>
      <c r="J93" s="1129"/>
      <c r="K93" s="1129"/>
      <c r="L93" s="1129"/>
      <c r="M93" s="1129"/>
      <c r="N93" s="1129"/>
      <c r="O93" s="1129"/>
      <c r="P93" s="1129"/>
      <c r="Q93" s="1129"/>
      <c r="R93" s="1129"/>
      <c r="S93" s="1129"/>
      <c r="T93" s="1129"/>
      <c r="U93" s="1129"/>
      <c r="V93" s="1129"/>
      <c r="W93" s="1129"/>
      <c r="X93" s="1129"/>
      <c r="Y93" s="1129"/>
      <c r="AA93" s="600"/>
      <c r="AC93" s="124" t="str">
        <f>Translations!$B$1278</f>
        <v>Hide row for reduced scope</v>
      </c>
    </row>
    <row r="94" spans="1:29" ht="25.5" hidden="1" customHeight="1" thickBot="1" x14ac:dyDescent="0.3">
      <c r="A94" s="324"/>
      <c r="C94" s="1200" t="s">
        <v>214</v>
      </c>
      <c r="D94" s="960"/>
      <c r="E94" s="960"/>
      <c r="F94" s="960"/>
      <c r="G94" s="960"/>
      <c r="H94" s="960"/>
      <c r="I94" s="960"/>
      <c r="J94" s="960"/>
      <c r="K94" s="960"/>
      <c r="L94" s="960"/>
      <c r="M94" s="960"/>
      <c r="N94" s="960"/>
      <c r="O94" s="960"/>
      <c r="P94" s="960"/>
      <c r="Q94" s="960"/>
      <c r="R94" s="960"/>
      <c r="S94" s="960"/>
      <c r="T94" s="960"/>
      <c r="U94" s="960"/>
      <c r="V94" s="960"/>
      <c r="W94" s="960"/>
      <c r="X94" s="960"/>
      <c r="Y94" s="960"/>
      <c r="Z94" s="960"/>
      <c r="AA94" s="313"/>
      <c r="AC94" s="124" t="str">
        <f>Translations!$B$1278</f>
        <v>Hide row for reduced scope</v>
      </c>
    </row>
    <row r="95" spans="1:29" hidden="1" x14ac:dyDescent="0.25">
      <c r="A95" s="324"/>
      <c r="C95" s="138"/>
      <c r="D95" s="151"/>
      <c r="E95" s="1221" t="s">
        <v>202</v>
      </c>
      <c r="F95" s="1222"/>
      <c r="G95" s="1222"/>
      <c r="H95" s="1222"/>
      <c r="I95" s="1222"/>
      <c r="J95" s="1222"/>
      <c r="K95" s="1222"/>
      <c r="L95" s="1222"/>
      <c r="M95" s="1222"/>
      <c r="N95" s="1222"/>
      <c r="O95" s="1222"/>
      <c r="P95" s="1222"/>
      <c r="Q95" s="1222"/>
      <c r="R95" s="1222"/>
      <c r="S95" s="1222"/>
      <c r="T95" s="1222"/>
      <c r="U95" s="1222"/>
      <c r="V95" s="1222"/>
      <c r="W95" s="1232" t="s">
        <v>203</v>
      </c>
      <c r="X95" s="1232" t="s">
        <v>204</v>
      </c>
      <c r="Y95" s="1232" t="s">
        <v>205</v>
      </c>
      <c r="Z95" s="1223" t="str">
        <f>Translations!$B$1026</f>
        <v>Total number of flights</v>
      </c>
      <c r="AA95" s="600"/>
      <c r="AB95" s="147"/>
      <c r="AC95" s="124" t="str">
        <f>Translations!$B$1278</f>
        <v>Hide row for reduced scope</v>
      </c>
    </row>
    <row r="96" spans="1:29" ht="30.6" hidden="1" x14ac:dyDescent="0.25">
      <c r="A96" s="324"/>
      <c r="C96" s="52" t="str">
        <f>Translations!$B$1000</f>
        <v>State of departure</v>
      </c>
      <c r="D96" s="52" t="str">
        <f>Translations!$B$1001</f>
        <v>Member State of arrival</v>
      </c>
      <c r="E96" s="52" t="str">
        <f>Translations!$B$981</f>
        <v>Jet kerosene (jet A1 or 
jet A)</v>
      </c>
      <c r="F96" s="52" t="str">
        <f>Translations!$B$274</f>
        <v>Jet gasoline (Jet B)</v>
      </c>
      <c r="G96" s="52" t="str">
        <f>Translations!$B$275</f>
        <v>Aviation gasoline (AvGas)</v>
      </c>
      <c r="H96" s="150" t="str">
        <f t="shared" ref="H96:V96" si="27">H$193</f>
        <v>4. HEFA</v>
      </c>
      <c r="I96" s="150" t="str">
        <f t="shared" si="27"/>
        <v>5. RFNBO EDDF</v>
      </c>
      <c r="J96" s="150" t="str">
        <f t="shared" si="27"/>
        <v>6. ATJ</v>
      </c>
      <c r="K96" s="150" t="str">
        <f t="shared" si="27"/>
        <v>Fuel 7</v>
      </c>
      <c r="L96" s="150" t="str">
        <f t="shared" si="27"/>
        <v>Fuel 8</v>
      </c>
      <c r="M96" s="150" t="str">
        <f t="shared" si="27"/>
        <v>Fuel 9</v>
      </c>
      <c r="N96" s="150" t="str">
        <f t="shared" si="27"/>
        <v>Fuel 10</v>
      </c>
      <c r="O96" s="150" t="str">
        <f t="shared" si="27"/>
        <v>Fuel 11</v>
      </c>
      <c r="P96" s="150" t="str">
        <f t="shared" si="27"/>
        <v>Fuel 12</v>
      </c>
      <c r="Q96" s="150" t="str">
        <f t="shared" si="27"/>
        <v>Fuel 13</v>
      </c>
      <c r="R96" s="150" t="str">
        <f t="shared" si="27"/>
        <v>Fuel 14</v>
      </c>
      <c r="S96" s="150" t="str">
        <f t="shared" si="27"/>
        <v>Fuel 15</v>
      </c>
      <c r="T96" s="150" t="str">
        <f t="shared" si="27"/>
        <v>Fuel 16</v>
      </c>
      <c r="U96" s="150" t="str">
        <f t="shared" si="27"/>
        <v>Fuel 17</v>
      </c>
      <c r="V96" s="150" t="str">
        <f t="shared" si="27"/>
        <v>Fuel 18</v>
      </c>
      <c r="W96" s="1233"/>
      <c r="X96" s="1233"/>
      <c r="Y96" s="1233"/>
      <c r="Z96" s="1224"/>
      <c r="AA96" s="600"/>
      <c r="AB96" s="147"/>
      <c r="AC96" s="124" t="str">
        <f>Translations!$B$1278</f>
        <v>Hide row for reduced scope</v>
      </c>
    </row>
    <row r="97" spans="1:29" hidden="1" x14ac:dyDescent="0.25">
      <c r="A97" s="324"/>
      <c r="C97" s="854"/>
      <c r="D97" s="854"/>
      <c r="E97" s="855"/>
      <c r="F97" s="855"/>
      <c r="G97" s="855"/>
      <c r="H97" s="855"/>
      <c r="I97" s="855"/>
      <c r="J97" s="855"/>
      <c r="K97" s="855"/>
      <c r="L97" s="855"/>
      <c r="M97" s="855"/>
      <c r="N97" s="855"/>
      <c r="O97" s="855"/>
      <c r="P97" s="855"/>
      <c r="Q97" s="855"/>
      <c r="R97" s="855"/>
      <c r="S97" s="855"/>
      <c r="T97" s="855"/>
      <c r="U97" s="855"/>
      <c r="V97" s="855"/>
      <c r="W97" s="359">
        <f t="shared" ref="W97:W121" si="28">SUMPRODUCT(E97:V97,$E$196:$V$196)</f>
        <v>0</v>
      </c>
      <c r="X97" s="359">
        <f t="shared" ref="X97:X121" si="29">Y97-W97</f>
        <v>0</v>
      </c>
      <c r="Y97" s="359">
        <f t="shared" ref="Y97:Y121" si="30">SUMPRODUCT(E97:V97,$E$195:$V$195)</f>
        <v>0</v>
      </c>
      <c r="Z97" s="856"/>
      <c r="AA97" s="600"/>
      <c r="AB97" s="147"/>
      <c r="AC97" s="124" t="str">
        <f>Translations!$B$1278</f>
        <v>Hide row for reduced scope</v>
      </c>
    </row>
    <row r="98" spans="1:29" hidden="1" x14ac:dyDescent="0.25">
      <c r="A98" s="324"/>
      <c r="C98" s="854"/>
      <c r="D98" s="854"/>
      <c r="E98" s="855"/>
      <c r="F98" s="855"/>
      <c r="G98" s="855"/>
      <c r="H98" s="855"/>
      <c r="I98" s="855"/>
      <c r="J98" s="855"/>
      <c r="K98" s="855"/>
      <c r="L98" s="855"/>
      <c r="M98" s="855"/>
      <c r="N98" s="855"/>
      <c r="O98" s="855"/>
      <c r="P98" s="855"/>
      <c r="Q98" s="855"/>
      <c r="R98" s="855"/>
      <c r="S98" s="855"/>
      <c r="T98" s="855"/>
      <c r="U98" s="855"/>
      <c r="V98" s="855"/>
      <c r="W98" s="359">
        <f t="shared" si="28"/>
        <v>0</v>
      </c>
      <c r="X98" s="359">
        <f t="shared" si="29"/>
        <v>0</v>
      </c>
      <c r="Y98" s="359">
        <f t="shared" si="30"/>
        <v>0</v>
      </c>
      <c r="Z98" s="856"/>
      <c r="AA98" s="600"/>
      <c r="AB98" s="147"/>
      <c r="AC98" s="124" t="str">
        <f>Translations!$B$1278</f>
        <v>Hide row for reduced scope</v>
      </c>
    </row>
    <row r="99" spans="1:29" hidden="1" x14ac:dyDescent="0.25">
      <c r="A99" s="324"/>
      <c r="C99" s="854"/>
      <c r="D99" s="854"/>
      <c r="E99" s="855"/>
      <c r="F99" s="855"/>
      <c r="G99" s="855"/>
      <c r="H99" s="855"/>
      <c r="I99" s="855"/>
      <c r="J99" s="855"/>
      <c r="K99" s="855"/>
      <c r="L99" s="855"/>
      <c r="M99" s="855"/>
      <c r="N99" s="855"/>
      <c r="O99" s="855"/>
      <c r="P99" s="855"/>
      <c r="Q99" s="855"/>
      <c r="R99" s="855"/>
      <c r="S99" s="855"/>
      <c r="T99" s="855"/>
      <c r="U99" s="855"/>
      <c r="V99" s="855"/>
      <c r="W99" s="359">
        <f t="shared" si="28"/>
        <v>0</v>
      </c>
      <c r="X99" s="359">
        <f t="shared" si="29"/>
        <v>0</v>
      </c>
      <c r="Y99" s="359">
        <f t="shared" si="30"/>
        <v>0</v>
      </c>
      <c r="Z99" s="856"/>
      <c r="AA99" s="600"/>
      <c r="AB99" s="147"/>
      <c r="AC99" s="124" t="str">
        <f>Translations!$B$1278</f>
        <v>Hide row for reduced scope</v>
      </c>
    </row>
    <row r="100" spans="1:29" hidden="1" x14ac:dyDescent="0.25">
      <c r="A100" s="324"/>
      <c r="C100" s="854"/>
      <c r="D100" s="854"/>
      <c r="E100" s="855"/>
      <c r="F100" s="855"/>
      <c r="G100" s="855"/>
      <c r="H100" s="855"/>
      <c r="I100" s="855"/>
      <c r="J100" s="855"/>
      <c r="K100" s="855"/>
      <c r="L100" s="855"/>
      <c r="M100" s="855"/>
      <c r="N100" s="855"/>
      <c r="O100" s="855"/>
      <c r="P100" s="855"/>
      <c r="Q100" s="855"/>
      <c r="R100" s="855"/>
      <c r="S100" s="855"/>
      <c r="T100" s="855"/>
      <c r="U100" s="855"/>
      <c r="V100" s="855"/>
      <c r="W100" s="359">
        <f t="shared" si="28"/>
        <v>0</v>
      </c>
      <c r="X100" s="359">
        <f t="shared" si="29"/>
        <v>0</v>
      </c>
      <c r="Y100" s="359">
        <f t="shared" si="30"/>
        <v>0</v>
      </c>
      <c r="Z100" s="856"/>
      <c r="AA100" s="600"/>
      <c r="AB100" s="147"/>
      <c r="AC100" s="124" t="str">
        <f>Translations!$B$1278</f>
        <v>Hide row for reduced scope</v>
      </c>
    </row>
    <row r="101" spans="1:29" hidden="1" x14ac:dyDescent="0.25">
      <c r="A101" s="324"/>
      <c r="C101" s="854"/>
      <c r="D101" s="854"/>
      <c r="E101" s="855"/>
      <c r="F101" s="855"/>
      <c r="G101" s="855"/>
      <c r="H101" s="855"/>
      <c r="I101" s="855"/>
      <c r="J101" s="855"/>
      <c r="K101" s="855"/>
      <c r="L101" s="855"/>
      <c r="M101" s="855"/>
      <c r="N101" s="855"/>
      <c r="O101" s="855"/>
      <c r="P101" s="855"/>
      <c r="Q101" s="855"/>
      <c r="R101" s="855"/>
      <c r="S101" s="855"/>
      <c r="T101" s="855"/>
      <c r="U101" s="855"/>
      <c r="V101" s="855"/>
      <c r="W101" s="359">
        <f t="shared" si="28"/>
        <v>0</v>
      </c>
      <c r="X101" s="359">
        <f t="shared" si="29"/>
        <v>0</v>
      </c>
      <c r="Y101" s="359">
        <f t="shared" si="30"/>
        <v>0</v>
      </c>
      <c r="Z101" s="856"/>
      <c r="AA101" s="600"/>
      <c r="AB101" s="147"/>
      <c r="AC101" s="124" t="str">
        <f>Translations!$B$1278</f>
        <v>Hide row for reduced scope</v>
      </c>
    </row>
    <row r="102" spans="1:29" hidden="1" x14ac:dyDescent="0.25">
      <c r="A102" s="324"/>
      <c r="C102" s="854"/>
      <c r="D102" s="854"/>
      <c r="E102" s="855"/>
      <c r="F102" s="855"/>
      <c r="G102" s="855"/>
      <c r="H102" s="855"/>
      <c r="I102" s="855"/>
      <c r="J102" s="855"/>
      <c r="K102" s="855"/>
      <c r="L102" s="855"/>
      <c r="M102" s="855"/>
      <c r="N102" s="855"/>
      <c r="O102" s="855"/>
      <c r="P102" s="855"/>
      <c r="Q102" s="855"/>
      <c r="R102" s="855"/>
      <c r="S102" s="855"/>
      <c r="T102" s="855"/>
      <c r="U102" s="855"/>
      <c r="V102" s="855"/>
      <c r="W102" s="359">
        <f t="shared" si="28"/>
        <v>0</v>
      </c>
      <c r="X102" s="359">
        <f t="shared" si="29"/>
        <v>0</v>
      </c>
      <c r="Y102" s="359">
        <f t="shared" si="30"/>
        <v>0</v>
      </c>
      <c r="Z102" s="856"/>
      <c r="AA102" s="600"/>
      <c r="AB102" s="147"/>
      <c r="AC102" s="124" t="str">
        <f>Translations!$B$1278</f>
        <v>Hide row for reduced scope</v>
      </c>
    </row>
    <row r="103" spans="1:29" hidden="1" x14ac:dyDescent="0.25">
      <c r="A103" s="324"/>
      <c r="C103" s="854"/>
      <c r="D103" s="854"/>
      <c r="E103" s="855"/>
      <c r="F103" s="855"/>
      <c r="G103" s="855"/>
      <c r="H103" s="855"/>
      <c r="I103" s="855"/>
      <c r="J103" s="855"/>
      <c r="K103" s="855"/>
      <c r="L103" s="855"/>
      <c r="M103" s="855"/>
      <c r="N103" s="855"/>
      <c r="O103" s="855"/>
      <c r="P103" s="855"/>
      <c r="Q103" s="855"/>
      <c r="R103" s="855"/>
      <c r="S103" s="855"/>
      <c r="T103" s="855"/>
      <c r="U103" s="855"/>
      <c r="V103" s="855"/>
      <c r="W103" s="359">
        <f t="shared" si="28"/>
        <v>0</v>
      </c>
      <c r="X103" s="359">
        <f t="shared" si="29"/>
        <v>0</v>
      </c>
      <c r="Y103" s="359">
        <f t="shared" si="30"/>
        <v>0</v>
      </c>
      <c r="Z103" s="856"/>
      <c r="AA103" s="600"/>
      <c r="AB103" s="147"/>
      <c r="AC103" s="124" t="str">
        <f>Translations!$B$1278</f>
        <v>Hide row for reduced scope</v>
      </c>
    </row>
    <row r="104" spans="1:29" hidden="1" x14ac:dyDescent="0.25">
      <c r="A104" s="324"/>
      <c r="C104" s="854"/>
      <c r="D104" s="854"/>
      <c r="E104" s="855"/>
      <c r="F104" s="855"/>
      <c r="G104" s="855"/>
      <c r="H104" s="855"/>
      <c r="I104" s="855"/>
      <c r="J104" s="855"/>
      <c r="K104" s="855"/>
      <c r="L104" s="855"/>
      <c r="M104" s="855"/>
      <c r="N104" s="855"/>
      <c r="O104" s="855"/>
      <c r="P104" s="855"/>
      <c r="Q104" s="855"/>
      <c r="R104" s="855"/>
      <c r="S104" s="855"/>
      <c r="T104" s="855"/>
      <c r="U104" s="855"/>
      <c r="V104" s="855"/>
      <c r="W104" s="359">
        <f t="shared" si="28"/>
        <v>0</v>
      </c>
      <c r="X104" s="359">
        <f t="shared" si="29"/>
        <v>0</v>
      </c>
      <c r="Y104" s="359">
        <f t="shared" si="30"/>
        <v>0</v>
      </c>
      <c r="Z104" s="856"/>
      <c r="AA104" s="600"/>
      <c r="AB104" s="147"/>
      <c r="AC104" s="124" t="str">
        <f>Translations!$B$1278</f>
        <v>Hide row for reduced scope</v>
      </c>
    </row>
    <row r="105" spans="1:29" hidden="1" x14ac:dyDescent="0.25">
      <c r="A105" s="324"/>
      <c r="C105" s="854"/>
      <c r="D105" s="854"/>
      <c r="E105" s="855"/>
      <c r="F105" s="855"/>
      <c r="G105" s="855"/>
      <c r="H105" s="855"/>
      <c r="I105" s="855"/>
      <c r="J105" s="855"/>
      <c r="K105" s="855"/>
      <c r="L105" s="855"/>
      <c r="M105" s="855"/>
      <c r="N105" s="855"/>
      <c r="O105" s="855"/>
      <c r="P105" s="855"/>
      <c r="Q105" s="855"/>
      <c r="R105" s="855"/>
      <c r="S105" s="855"/>
      <c r="T105" s="855"/>
      <c r="U105" s="855"/>
      <c r="V105" s="855"/>
      <c r="W105" s="359">
        <f t="shared" si="28"/>
        <v>0</v>
      </c>
      <c r="X105" s="359">
        <f t="shared" si="29"/>
        <v>0</v>
      </c>
      <c r="Y105" s="359">
        <f t="shared" si="30"/>
        <v>0</v>
      </c>
      <c r="Z105" s="856"/>
      <c r="AA105" s="600"/>
      <c r="AB105" s="147"/>
      <c r="AC105" s="124" t="str">
        <f>Translations!$B$1278</f>
        <v>Hide row for reduced scope</v>
      </c>
    </row>
    <row r="106" spans="1:29" hidden="1" x14ac:dyDescent="0.25">
      <c r="A106" s="324"/>
      <c r="C106" s="854"/>
      <c r="D106" s="854"/>
      <c r="E106" s="855"/>
      <c r="F106" s="855"/>
      <c r="G106" s="855"/>
      <c r="H106" s="855"/>
      <c r="I106" s="855"/>
      <c r="J106" s="855"/>
      <c r="K106" s="855"/>
      <c r="L106" s="855"/>
      <c r="M106" s="855"/>
      <c r="N106" s="855"/>
      <c r="O106" s="855"/>
      <c r="P106" s="855"/>
      <c r="Q106" s="855"/>
      <c r="R106" s="855"/>
      <c r="S106" s="855"/>
      <c r="T106" s="855"/>
      <c r="U106" s="855"/>
      <c r="V106" s="855"/>
      <c r="W106" s="359">
        <f t="shared" si="28"/>
        <v>0</v>
      </c>
      <c r="X106" s="359">
        <f t="shared" si="29"/>
        <v>0</v>
      </c>
      <c r="Y106" s="359">
        <f t="shared" si="30"/>
        <v>0</v>
      </c>
      <c r="Z106" s="856"/>
      <c r="AA106" s="600"/>
      <c r="AB106" s="147"/>
      <c r="AC106" s="124" t="str">
        <f>Translations!$B$1278</f>
        <v>Hide row for reduced scope</v>
      </c>
    </row>
    <row r="107" spans="1:29" hidden="1" x14ac:dyDescent="0.25">
      <c r="A107" s="324"/>
      <c r="C107" s="854"/>
      <c r="D107" s="854"/>
      <c r="E107" s="855"/>
      <c r="F107" s="855"/>
      <c r="G107" s="855"/>
      <c r="H107" s="855"/>
      <c r="I107" s="855"/>
      <c r="J107" s="855"/>
      <c r="K107" s="855"/>
      <c r="L107" s="855"/>
      <c r="M107" s="855"/>
      <c r="N107" s="855"/>
      <c r="O107" s="855"/>
      <c r="P107" s="855"/>
      <c r="Q107" s="855"/>
      <c r="R107" s="855"/>
      <c r="S107" s="855"/>
      <c r="T107" s="855"/>
      <c r="U107" s="855"/>
      <c r="V107" s="855"/>
      <c r="W107" s="359">
        <f t="shared" si="28"/>
        <v>0</v>
      </c>
      <c r="X107" s="359">
        <f t="shared" si="29"/>
        <v>0</v>
      </c>
      <c r="Y107" s="359">
        <f t="shared" si="30"/>
        <v>0</v>
      </c>
      <c r="Z107" s="856"/>
      <c r="AA107" s="600"/>
      <c r="AB107" s="147"/>
      <c r="AC107" s="124" t="str">
        <f>Translations!$B$1278</f>
        <v>Hide row for reduced scope</v>
      </c>
    </row>
    <row r="108" spans="1:29" hidden="1" x14ac:dyDescent="0.25">
      <c r="A108" s="324"/>
      <c r="C108" s="854"/>
      <c r="D108" s="854"/>
      <c r="E108" s="855"/>
      <c r="F108" s="855"/>
      <c r="G108" s="855"/>
      <c r="H108" s="855"/>
      <c r="I108" s="855"/>
      <c r="J108" s="855"/>
      <c r="K108" s="855"/>
      <c r="L108" s="855"/>
      <c r="M108" s="855"/>
      <c r="N108" s="855"/>
      <c r="O108" s="855"/>
      <c r="P108" s="855"/>
      <c r="Q108" s="855"/>
      <c r="R108" s="855"/>
      <c r="S108" s="855"/>
      <c r="T108" s="855"/>
      <c r="U108" s="855"/>
      <c r="V108" s="855"/>
      <c r="W108" s="359">
        <f t="shared" si="28"/>
        <v>0</v>
      </c>
      <c r="X108" s="359">
        <f t="shared" si="29"/>
        <v>0</v>
      </c>
      <c r="Y108" s="359">
        <f t="shared" si="30"/>
        <v>0</v>
      </c>
      <c r="Z108" s="856"/>
      <c r="AA108" s="600"/>
      <c r="AB108" s="147"/>
      <c r="AC108" s="124" t="str">
        <f>Translations!$B$1278</f>
        <v>Hide row for reduced scope</v>
      </c>
    </row>
    <row r="109" spans="1:29" hidden="1" x14ac:dyDescent="0.25">
      <c r="A109" s="324"/>
      <c r="C109" s="854"/>
      <c r="D109" s="854"/>
      <c r="E109" s="855"/>
      <c r="F109" s="855"/>
      <c r="G109" s="855"/>
      <c r="H109" s="855"/>
      <c r="I109" s="855"/>
      <c r="J109" s="855"/>
      <c r="K109" s="855"/>
      <c r="L109" s="855"/>
      <c r="M109" s="855"/>
      <c r="N109" s="855"/>
      <c r="O109" s="855"/>
      <c r="P109" s="855"/>
      <c r="Q109" s="855"/>
      <c r="R109" s="855"/>
      <c r="S109" s="855"/>
      <c r="T109" s="855"/>
      <c r="U109" s="855"/>
      <c r="V109" s="855"/>
      <c r="W109" s="359">
        <f t="shared" si="28"/>
        <v>0</v>
      </c>
      <c r="X109" s="359">
        <f t="shared" si="29"/>
        <v>0</v>
      </c>
      <c r="Y109" s="359">
        <f t="shared" si="30"/>
        <v>0</v>
      </c>
      <c r="Z109" s="856"/>
      <c r="AA109" s="600"/>
      <c r="AB109" s="147"/>
      <c r="AC109" s="124" t="str">
        <f>Translations!$B$1278</f>
        <v>Hide row for reduced scope</v>
      </c>
    </row>
    <row r="110" spans="1:29" hidden="1" x14ac:dyDescent="0.25">
      <c r="A110" s="324"/>
      <c r="C110" s="854"/>
      <c r="D110" s="854"/>
      <c r="E110" s="855"/>
      <c r="F110" s="855"/>
      <c r="G110" s="855"/>
      <c r="H110" s="855"/>
      <c r="I110" s="855"/>
      <c r="J110" s="855"/>
      <c r="K110" s="855"/>
      <c r="L110" s="855"/>
      <c r="M110" s="855"/>
      <c r="N110" s="855"/>
      <c r="O110" s="855"/>
      <c r="P110" s="855"/>
      <c r="Q110" s="855"/>
      <c r="R110" s="855"/>
      <c r="S110" s="855"/>
      <c r="T110" s="855"/>
      <c r="U110" s="855"/>
      <c r="V110" s="855"/>
      <c r="W110" s="359">
        <f t="shared" si="28"/>
        <v>0</v>
      </c>
      <c r="X110" s="359">
        <f t="shared" si="29"/>
        <v>0</v>
      </c>
      <c r="Y110" s="359">
        <f t="shared" si="30"/>
        <v>0</v>
      </c>
      <c r="Z110" s="856"/>
      <c r="AA110" s="600"/>
      <c r="AB110" s="147"/>
      <c r="AC110" s="124" t="str">
        <f>Translations!$B$1278</f>
        <v>Hide row for reduced scope</v>
      </c>
    </row>
    <row r="111" spans="1:29" hidden="1" x14ac:dyDescent="0.25">
      <c r="A111" s="324"/>
      <c r="C111" s="854"/>
      <c r="D111" s="854"/>
      <c r="E111" s="855"/>
      <c r="F111" s="855"/>
      <c r="G111" s="855"/>
      <c r="H111" s="855"/>
      <c r="I111" s="855"/>
      <c r="J111" s="855"/>
      <c r="K111" s="855"/>
      <c r="L111" s="855"/>
      <c r="M111" s="855"/>
      <c r="N111" s="855"/>
      <c r="O111" s="855"/>
      <c r="P111" s="855"/>
      <c r="Q111" s="855"/>
      <c r="R111" s="855"/>
      <c r="S111" s="855"/>
      <c r="T111" s="855"/>
      <c r="U111" s="855"/>
      <c r="V111" s="855"/>
      <c r="W111" s="359">
        <f t="shared" si="28"/>
        <v>0</v>
      </c>
      <c r="X111" s="359">
        <f t="shared" si="29"/>
        <v>0</v>
      </c>
      <c r="Y111" s="359">
        <f t="shared" si="30"/>
        <v>0</v>
      </c>
      <c r="Z111" s="856"/>
      <c r="AA111" s="600"/>
      <c r="AB111" s="147"/>
      <c r="AC111" s="124" t="str">
        <f>Translations!$B$1278</f>
        <v>Hide row for reduced scope</v>
      </c>
    </row>
    <row r="112" spans="1:29" hidden="1" x14ac:dyDescent="0.25">
      <c r="A112" s="324"/>
      <c r="C112" s="854"/>
      <c r="D112" s="854"/>
      <c r="E112" s="855"/>
      <c r="F112" s="855"/>
      <c r="G112" s="855"/>
      <c r="H112" s="855"/>
      <c r="I112" s="855"/>
      <c r="J112" s="855"/>
      <c r="K112" s="855"/>
      <c r="L112" s="855"/>
      <c r="M112" s="855"/>
      <c r="N112" s="855"/>
      <c r="O112" s="855"/>
      <c r="P112" s="855"/>
      <c r="Q112" s="855"/>
      <c r="R112" s="855"/>
      <c r="S112" s="855"/>
      <c r="T112" s="855"/>
      <c r="U112" s="855"/>
      <c r="V112" s="855"/>
      <c r="W112" s="359">
        <f t="shared" si="28"/>
        <v>0</v>
      </c>
      <c r="X112" s="359">
        <f t="shared" si="29"/>
        <v>0</v>
      </c>
      <c r="Y112" s="359">
        <f t="shared" si="30"/>
        <v>0</v>
      </c>
      <c r="Z112" s="856"/>
      <c r="AA112" s="600"/>
      <c r="AB112" s="147"/>
      <c r="AC112" s="124" t="str">
        <f>Translations!$B$1278</f>
        <v>Hide row for reduced scope</v>
      </c>
    </row>
    <row r="113" spans="1:29" hidden="1" x14ac:dyDescent="0.25">
      <c r="A113" s="324"/>
      <c r="C113" s="854"/>
      <c r="D113" s="854"/>
      <c r="E113" s="855"/>
      <c r="F113" s="855"/>
      <c r="G113" s="855"/>
      <c r="H113" s="855"/>
      <c r="I113" s="855"/>
      <c r="J113" s="855"/>
      <c r="K113" s="855"/>
      <c r="L113" s="855"/>
      <c r="M113" s="855"/>
      <c r="N113" s="855"/>
      <c r="O113" s="855"/>
      <c r="P113" s="855"/>
      <c r="Q113" s="855"/>
      <c r="R113" s="855"/>
      <c r="S113" s="855"/>
      <c r="T113" s="855"/>
      <c r="U113" s="855"/>
      <c r="V113" s="855"/>
      <c r="W113" s="359">
        <f t="shared" si="28"/>
        <v>0</v>
      </c>
      <c r="X113" s="359">
        <f t="shared" si="29"/>
        <v>0</v>
      </c>
      <c r="Y113" s="359">
        <f t="shared" si="30"/>
        <v>0</v>
      </c>
      <c r="Z113" s="856"/>
      <c r="AA113" s="600"/>
      <c r="AB113" s="147"/>
      <c r="AC113" s="124" t="str">
        <f>Translations!$B$1278</f>
        <v>Hide row for reduced scope</v>
      </c>
    </row>
    <row r="114" spans="1:29" hidden="1" x14ac:dyDescent="0.25">
      <c r="A114" s="324"/>
      <c r="C114" s="854"/>
      <c r="D114" s="854"/>
      <c r="E114" s="855"/>
      <c r="F114" s="855"/>
      <c r="G114" s="855"/>
      <c r="H114" s="855"/>
      <c r="I114" s="855"/>
      <c r="J114" s="855"/>
      <c r="K114" s="855"/>
      <c r="L114" s="855"/>
      <c r="M114" s="855"/>
      <c r="N114" s="855"/>
      <c r="O114" s="855"/>
      <c r="P114" s="855"/>
      <c r="Q114" s="855"/>
      <c r="R114" s="855"/>
      <c r="S114" s="855"/>
      <c r="T114" s="855"/>
      <c r="U114" s="855"/>
      <c r="V114" s="855"/>
      <c r="W114" s="359">
        <f t="shared" si="28"/>
        <v>0</v>
      </c>
      <c r="X114" s="359">
        <f t="shared" si="29"/>
        <v>0</v>
      </c>
      <c r="Y114" s="359">
        <f t="shared" si="30"/>
        <v>0</v>
      </c>
      <c r="Z114" s="856"/>
      <c r="AA114" s="600"/>
      <c r="AB114" s="147"/>
      <c r="AC114" s="124" t="str">
        <f>Translations!$B$1278</f>
        <v>Hide row for reduced scope</v>
      </c>
    </row>
    <row r="115" spans="1:29" hidden="1" x14ac:dyDescent="0.25">
      <c r="A115" s="324"/>
      <c r="C115" s="854"/>
      <c r="D115" s="854"/>
      <c r="E115" s="855"/>
      <c r="F115" s="855"/>
      <c r="G115" s="855"/>
      <c r="H115" s="855"/>
      <c r="I115" s="855"/>
      <c r="J115" s="855"/>
      <c r="K115" s="855"/>
      <c r="L115" s="855"/>
      <c r="M115" s="855"/>
      <c r="N115" s="855"/>
      <c r="O115" s="855"/>
      <c r="P115" s="855"/>
      <c r="Q115" s="855"/>
      <c r="R115" s="855"/>
      <c r="S115" s="855"/>
      <c r="T115" s="855"/>
      <c r="U115" s="855"/>
      <c r="V115" s="855"/>
      <c r="W115" s="359">
        <f t="shared" si="28"/>
        <v>0</v>
      </c>
      <c r="X115" s="359">
        <f t="shared" si="29"/>
        <v>0</v>
      </c>
      <c r="Y115" s="359">
        <f t="shared" si="30"/>
        <v>0</v>
      </c>
      <c r="Z115" s="856"/>
      <c r="AA115" s="600"/>
      <c r="AB115" s="147"/>
      <c r="AC115" s="124" t="str">
        <f>Translations!$B$1278</f>
        <v>Hide row for reduced scope</v>
      </c>
    </row>
    <row r="116" spans="1:29" hidden="1" x14ac:dyDescent="0.25">
      <c r="A116" s="324"/>
      <c r="C116" s="854"/>
      <c r="D116" s="854"/>
      <c r="E116" s="855"/>
      <c r="F116" s="855"/>
      <c r="G116" s="855"/>
      <c r="H116" s="855"/>
      <c r="I116" s="855"/>
      <c r="J116" s="855"/>
      <c r="K116" s="855"/>
      <c r="L116" s="855"/>
      <c r="M116" s="855"/>
      <c r="N116" s="855"/>
      <c r="O116" s="855"/>
      <c r="P116" s="855"/>
      <c r="Q116" s="855"/>
      <c r="R116" s="855"/>
      <c r="S116" s="855"/>
      <c r="T116" s="855"/>
      <c r="U116" s="855"/>
      <c r="V116" s="855"/>
      <c r="W116" s="359">
        <f t="shared" si="28"/>
        <v>0</v>
      </c>
      <c r="X116" s="359">
        <f t="shared" si="29"/>
        <v>0</v>
      </c>
      <c r="Y116" s="359">
        <f t="shared" si="30"/>
        <v>0</v>
      </c>
      <c r="Z116" s="856"/>
      <c r="AA116" s="600"/>
      <c r="AB116" s="147"/>
      <c r="AC116" s="124" t="str">
        <f>Translations!$B$1278</f>
        <v>Hide row for reduced scope</v>
      </c>
    </row>
    <row r="117" spans="1:29" hidden="1" x14ac:dyDescent="0.25">
      <c r="A117" s="324"/>
      <c r="C117" s="854"/>
      <c r="D117" s="854"/>
      <c r="E117" s="855"/>
      <c r="F117" s="855"/>
      <c r="G117" s="855"/>
      <c r="H117" s="855"/>
      <c r="I117" s="855"/>
      <c r="J117" s="855"/>
      <c r="K117" s="855"/>
      <c r="L117" s="855"/>
      <c r="M117" s="855"/>
      <c r="N117" s="855"/>
      <c r="O117" s="855"/>
      <c r="P117" s="855"/>
      <c r="Q117" s="855"/>
      <c r="R117" s="855"/>
      <c r="S117" s="855"/>
      <c r="T117" s="855"/>
      <c r="U117" s="855"/>
      <c r="V117" s="855"/>
      <c r="W117" s="359">
        <f t="shared" si="28"/>
        <v>0</v>
      </c>
      <c r="X117" s="359">
        <f t="shared" si="29"/>
        <v>0</v>
      </c>
      <c r="Y117" s="359">
        <f t="shared" si="30"/>
        <v>0</v>
      </c>
      <c r="Z117" s="856"/>
      <c r="AA117" s="600"/>
      <c r="AB117" s="147"/>
      <c r="AC117" s="124" t="str">
        <f>Translations!$B$1278</f>
        <v>Hide row for reduced scope</v>
      </c>
    </row>
    <row r="118" spans="1:29" hidden="1" x14ac:dyDescent="0.25">
      <c r="A118" s="324"/>
      <c r="C118" s="854"/>
      <c r="D118" s="854"/>
      <c r="E118" s="855"/>
      <c r="F118" s="855"/>
      <c r="G118" s="855"/>
      <c r="H118" s="855"/>
      <c r="I118" s="855"/>
      <c r="J118" s="855"/>
      <c r="K118" s="855"/>
      <c r="L118" s="855"/>
      <c r="M118" s="855"/>
      <c r="N118" s="855"/>
      <c r="O118" s="855"/>
      <c r="P118" s="855"/>
      <c r="Q118" s="855"/>
      <c r="R118" s="855"/>
      <c r="S118" s="855"/>
      <c r="T118" s="855"/>
      <c r="U118" s="855"/>
      <c r="V118" s="855"/>
      <c r="W118" s="359">
        <f t="shared" si="28"/>
        <v>0</v>
      </c>
      <c r="X118" s="359">
        <f t="shared" si="29"/>
        <v>0</v>
      </c>
      <c r="Y118" s="359">
        <f t="shared" si="30"/>
        <v>0</v>
      </c>
      <c r="Z118" s="856"/>
      <c r="AA118" s="600"/>
      <c r="AB118" s="147"/>
      <c r="AC118" s="124" t="str">
        <f>Translations!$B$1278</f>
        <v>Hide row for reduced scope</v>
      </c>
    </row>
    <row r="119" spans="1:29" hidden="1" x14ac:dyDescent="0.25">
      <c r="A119" s="324"/>
      <c r="C119" s="854"/>
      <c r="D119" s="854"/>
      <c r="E119" s="855"/>
      <c r="F119" s="855"/>
      <c r="G119" s="855"/>
      <c r="H119" s="855"/>
      <c r="I119" s="855"/>
      <c r="J119" s="855"/>
      <c r="K119" s="855"/>
      <c r="L119" s="855"/>
      <c r="M119" s="855"/>
      <c r="N119" s="855"/>
      <c r="O119" s="855"/>
      <c r="P119" s="855"/>
      <c r="Q119" s="855"/>
      <c r="R119" s="855"/>
      <c r="S119" s="855"/>
      <c r="T119" s="855"/>
      <c r="U119" s="855"/>
      <c r="V119" s="855"/>
      <c r="W119" s="359">
        <f t="shared" si="28"/>
        <v>0</v>
      </c>
      <c r="X119" s="359">
        <f t="shared" si="29"/>
        <v>0</v>
      </c>
      <c r="Y119" s="359">
        <f t="shared" si="30"/>
        <v>0</v>
      </c>
      <c r="Z119" s="856"/>
      <c r="AA119" s="600"/>
      <c r="AB119" s="147"/>
      <c r="AC119" s="124" t="str">
        <f>Translations!$B$1278</f>
        <v>Hide row for reduced scope</v>
      </c>
    </row>
    <row r="120" spans="1:29" hidden="1" x14ac:dyDescent="0.25">
      <c r="A120" s="324"/>
      <c r="C120" s="854"/>
      <c r="D120" s="854"/>
      <c r="E120" s="855"/>
      <c r="F120" s="855"/>
      <c r="G120" s="855"/>
      <c r="H120" s="855"/>
      <c r="I120" s="855"/>
      <c r="J120" s="855"/>
      <c r="K120" s="855"/>
      <c r="L120" s="855"/>
      <c r="M120" s="855"/>
      <c r="N120" s="855"/>
      <c r="O120" s="855"/>
      <c r="P120" s="855"/>
      <c r="Q120" s="855"/>
      <c r="R120" s="855"/>
      <c r="S120" s="855"/>
      <c r="T120" s="855"/>
      <c r="U120" s="855"/>
      <c r="V120" s="855"/>
      <c r="W120" s="359">
        <f t="shared" si="28"/>
        <v>0</v>
      </c>
      <c r="X120" s="359">
        <f t="shared" si="29"/>
        <v>0</v>
      </c>
      <c r="Y120" s="359">
        <f t="shared" si="30"/>
        <v>0</v>
      </c>
      <c r="Z120" s="856"/>
      <c r="AA120" s="600"/>
      <c r="AB120" s="147"/>
      <c r="AC120" s="124" t="str">
        <f>Translations!$B$1278</f>
        <v>Hide row for reduced scope</v>
      </c>
    </row>
    <row r="121" spans="1:29" hidden="1" x14ac:dyDescent="0.25">
      <c r="A121" s="324"/>
      <c r="C121" s="854"/>
      <c r="D121" s="854"/>
      <c r="E121" s="855"/>
      <c r="F121" s="855"/>
      <c r="G121" s="855"/>
      <c r="H121" s="855"/>
      <c r="I121" s="855"/>
      <c r="J121" s="855"/>
      <c r="K121" s="855"/>
      <c r="L121" s="855"/>
      <c r="M121" s="855"/>
      <c r="N121" s="855"/>
      <c r="O121" s="855"/>
      <c r="P121" s="855"/>
      <c r="Q121" s="855"/>
      <c r="R121" s="855"/>
      <c r="S121" s="855"/>
      <c r="T121" s="855"/>
      <c r="U121" s="855"/>
      <c r="V121" s="855"/>
      <c r="W121" s="359">
        <f t="shared" si="28"/>
        <v>0</v>
      </c>
      <c r="X121" s="359">
        <f t="shared" si="29"/>
        <v>0</v>
      </c>
      <c r="Y121" s="359">
        <f t="shared" si="30"/>
        <v>0</v>
      </c>
      <c r="Z121" s="856"/>
      <c r="AA121" s="600"/>
      <c r="AB121" s="147"/>
      <c r="AC121" s="124" t="str">
        <f>Translations!$B$1278</f>
        <v>Hide row for reduced scope</v>
      </c>
    </row>
    <row r="122" spans="1:29" hidden="1" x14ac:dyDescent="0.25">
      <c r="A122" s="324"/>
      <c r="C122" s="142" t="str">
        <f>Translations!$B$998</f>
        <v>&lt; Please add additional rows above this row, if needed &gt;</v>
      </c>
      <c r="D122" s="139"/>
      <c r="E122" s="155"/>
      <c r="F122" s="155"/>
      <c r="G122" s="155"/>
      <c r="H122" s="155"/>
      <c r="I122" s="156"/>
      <c r="J122" s="156"/>
      <c r="K122" s="156"/>
      <c r="L122" s="156"/>
      <c r="M122" s="156"/>
      <c r="N122" s="156"/>
      <c r="O122" s="156"/>
      <c r="P122" s="156"/>
      <c r="Q122" s="156"/>
      <c r="R122" s="156"/>
      <c r="S122" s="156"/>
      <c r="T122" s="156"/>
      <c r="U122" s="156"/>
      <c r="V122" s="156"/>
      <c r="W122" s="362"/>
      <c r="X122" s="362"/>
      <c r="Y122" s="362"/>
      <c r="Z122" s="363"/>
      <c r="AA122" s="600"/>
      <c r="AB122" s="147"/>
      <c r="AC122" s="124" t="str">
        <f>Translations!$B$1278</f>
        <v>Hide row for reduced scope</v>
      </c>
    </row>
    <row r="123" spans="1:29" ht="38.25" hidden="1" customHeight="1" thickBot="1" x14ac:dyDescent="0.3">
      <c r="A123" s="324"/>
      <c r="C123" s="1219" t="str">
        <f>Translations!$B$1002</f>
        <v>Aggregated CO2 emissions from all flights arriving at each MS from third countries:</v>
      </c>
      <c r="D123" s="1220"/>
      <c r="E123" s="171">
        <f t="shared" ref="E123:V123" si="31">SUM(E97:E122)</f>
        <v>0</v>
      </c>
      <c r="F123" s="171">
        <f t="shared" si="31"/>
        <v>0</v>
      </c>
      <c r="G123" s="171">
        <f t="shared" si="31"/>
        <v>0</v>
      </c>
      <c r="H123" s="171">
        <f t="shared" si="31"/>
        <v>0</v>
      </c>
      <c r="I123" s="171">
        <f t="shared" si="31"/>
        <v>0</v>
      </c>
      <c r="J123" s="171">
        <f t="shared" si="31"/>
        <v>0</v>
      </c>
      <c r="K123" s="171">
        <f t="shared" si="31"/>
        <v>0</v>
      </c>
      <c r="L123" s="171">
        <f t="shared" si="31"/>
        <v>0</v>
      </c>
      <c r="M123" s="171">
        <f t="shared" si="31"/>
        <v>0</v>
      </c>
      <c r="N123" s="171">
        <f t="shared" si="31"/>
        <v>0</v>
      </c>
      <c r="O123" s="171">
        <f t="shared" si="31"/>
        <v>0</v>
      </c>
      <c r="P123" s="171">
        <f t="shared" si="31"/>
        <v>0</v>
      </c>
      <c r="Q123" s="171">
        <f t="shared" si="31"/>
        <v>0</v>
      </c>
      <c r="R123" s="171">
        <f t="shared" si="31"/>
        <v>0</v>
      </c>
      <c r="S123" s="171">
        <f t="shared" si="31"/>
        <v>0</v>
      </c>
      <c r="T123" s="171">
        <f t="shared" si="31"/>
        <v>0</v>
      </c>
      <c r="U123" s="171">
        <f t="shared" si="31"/>
        <v>0</v>
      </c>
      <c r="V123" s="171">
        <f t="shared" si="31"/>
        <v>0</v>
      </c>
      <c r="W123" s="359">
        <f>SUM(W97:W122)</f>
        <v>0</v>
      </c>
      <c r="X123" s="359">
        <f>SUM(X97:X122)</f>
        <v>0</v>
      </c>
      <c r="Y123" s="359">
        <f>SUM(Y97:Y122)</f>
        <v>0</v>
      </c>
      <c r="Z123" s="361">
        <f>SUM(Z97:Z122)</f>
        <v>0</v>
      </c>
      <c r="AA123" s="600"/>
      <c r="AC123" s="124" t="str">
        <f>Translations!$B$1278</f>
        <v>Hide row for reduced scope</v>
      </c>
    </row>
    <row r="124" spans="1:29" x14ac:dyDescent="0.25">
      <c r="C124" s="128"/>
      <c r="D124" s="128"/>
      <c r="E124" s="128"/>
      <c r="F124" s="128"/>
      <c r="G124" s="128"/>
      <c r="H124" s="128"/>
      <c r="I124" s="128"/>
      <c r="J124" s="128"/>
      <c r="K124" s="128"/>
      <c r="L124" s="128"/>
      <c r="M124" s="128"/>
      <c r="N124" s="128"/>
      <c r="O124" s="128"/>
      <c r="P124" s="128"/>
      <c r="Q124" s="128"/>
      <c r="R124" s="128"/>
      <c r="S124" s="128"/>
      <c r="T124" s="128"/>
      <c r="U124" s="128"/>
      <c r="V124" s="128"/>
    </row>
    <row r="125" spans="1:29" x14ac:dyDescent="0.25">
      <c r="A125" s="484"/>
      <c r="B125" s="484"/>
      <c r="C125" s="490"/>
      <c r="D125" s="490"/>
      <c r="E125" s="490"/>
      <c r="F125" s="490"/>
      <c r="G125" s="490"/>
      <c r="H125" s="490"/>
      <c r="I125" s="490"/>
      <c r="J125" s="490"/>
      <c r="K125" s="490"/>
      <c r="L125" s="490"/>
      <c r="M125" s="490"/>
      <c r="N125" s="490"/>
      <c r="O125" s="490"/>
      <c r="P125" s="490"/>
      <c r="Q125" s="490"/>
      <c r="R125" s="490"/>
      <c r="S125" s="490"/>
      <c r="T125" s="490"/>
      <c r="U125" s="490"/>
      <c r="V125" s="490"/>
      <c r="W125" s="484"/>
      <c r="X125" s="484"/>
      <c r="Y125" s="484"/>
      <c r="Z125" s="484"/>
      <c r="AA125" s="484"/>
    </row>
    <row r="126" spans="1:29" ht="15.6" x14ac:dyDescent="0.25">
      <c r="A126" s="484"/>
      <c r="B126" s="167" t="s">
        <v>1</v>
      </c>
      <c r="C126" s="79" t="str">
        <f>Translations!$B$1245</f>
        <v>Detailed emissions data – CH ETS</v>
      </c>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484"/>
    </row>
    <row r="127" spans="1:29" ht="5.0999999999999996" customHeight="1" x14ac:dyDescent="0.25">
      <c r="A127" s="484"/>
      <c r="C127" s="128"/>
      <c r="D127" s="128"/>
      <c r="E127" s="128"/>
      <c r="F127" s="128"/>
      <c r="G127" s="128"/>
      <c r="H127" s="128"/>
      <c r="I127" s="128"/>
      <c r="J127" s="128"/>
      <c r="K127" s="128"/>
      <c r="L127" s="128"/>
      <c r="M127" s="128"/>
      <c r="N127" s="128"/>
      <c r="O127" s="128"/>
      <c r="P127" s="128"/>
      <c r="Q127" s="128"/>
      <c r="R127" s="128"/>
      <c r="S127" s="128"/>
      <c r="T127" s="128"/>
      <c r="U127" s="128"/>
      <c r="V127" s="128"/>
      <c r="AA127" s="484"/>
    </row>
    <row r="128" spans="1:29" ht="26.4" customHeight="1" x14ac:dyDescent="0.25">
      <c r="A128" s="484"/>
      <c r="B128" s="60" t="s">
        <v>33</v>
      </c>
      <c r="C128" s="1104" t="str">
        <f>Translations!$B$1280</f>
        <v>The following table is used for control purposes only. Please make sure that the totals are consistent with the result of section 5(d). The following sections (b) and (c) should be filled without any double counting of emissions.</v>
      </c>
      <c r="D128" s="1066"/>
      <c r="E128" s="1066"/>
      <c r="F128" s="1066"/>
      <c r="G128" s="1066"/>
      <c r="H128" s="1066"/>
      <c r="I128" s="1066"/>
      <c r="J128" s="1066"/>
      <c r="K128" s="1066"/>
      <c r="L128" s="1066"/>
      <c r="M128" s="1066"/>
      <c r="N128" s="1066"/>
      <c r="O128" s="1066"/>
      <c r="P128" s="1066"/>
      <c r="Q128" s="1066"/>
      <c r="R128" s="1066"/>
      <c r="S128" s="1066"/>
      <c r="T128" s="1066"/>
      <c r="U128" s="1066"/>
      <c r="V128" s="1066"/>
      <c r="W128" s="1066"/>
      <c r="X128" s="1066"/>
      <c r="Y128" s="1066"/>
      <c r="Z128" s="960"/>
      <c r="AA128" s="484"/>
    </row>
    <row r="129" spans="1:29" ht="52.95" customHeight="1" x14ac:dyDescent="0.25">
      <c r="A129" s="484"/>
      <c r="B129" s="60"/>
      <c r="C129" s="1104" t="s">
        <v>1916</v>
      </c>
      <c r="D129" s="1066"/>
      <c r="E129" s="1066"/>
      <c r="F129" s="1066"/>
      <c r="G129" s="1066"/>
      <c r="H129" s="1066"/>
      <c r="I129" s="1066"/>
      <c r="J129" s="1066"/>
      <c r="K129" s="1066"/>
      <c r="L129" s="1066"/>
      <c r="M129" s="1066"/>
      <c r="N129" s="1066"/>
      <c r="O129" s="1066"/>
      <c r="P129" s="1066"/>
      <c r="Q129" s="1066"/>
      <c r="R129" s="1066"/>
      <c r="S129" s="1066"/>
      <c r="T129" s="1066"/>
      <c r="U129" s="1066"/>
      <c r="V129" s="1066"/>
      <c r="W129" s="1066"/>
      <c r="X129" s="1066"/>
      <c r="Y129" s="1066"/>
      <c r="Z129" s="960"/>
      <c r="AA129" s="484"/>
      <c r="AC129" s="914" t="s">
        <v>201</v>
      </c>
    </row>
    <row r="130" spans="1:29" ht="13.2" customHeight="1" x14ac:dyDescent="0.25">
      <c r="A130" s="484"/>
      <c r="B130" s="60"/>
      <c r="C130" s="1229" t="s">
        <v>1915</v>
      </c>
      <c r="D130" s="1230"/>
      <c r="E130" s="1230"/>
      <c r="F130" s="1230"/>
      <c r="G130" s="1230"/>
      <c r="H130" s="1230"/>
      <c r="I130" s="1230"/>
      <c r="J130" s="1230"/>
      <c r="K130" s="1230"/>
      <c r="L130" s="1230"/>
      <c r="M130" s="1230"/>
      <c r="N130" s="1230"/>
      <c r="O130" s="1230"/>
      <c r="P130" s="1230"/>
      <c r="Q130" s="1230"/>
      <c r="R130" s="1230"/>
      <c r="S130" s="1230"/>
      <c r="T130" s="1230"/>
      <c r="U130" s="1230"/>
      <c r="V130" s="1230"/>
      <c r="W130" s="1230"/>
      <c r="X130" s="1230"/>
      <c r="Y130" s="1230"/>
      <c r="Z130" s="1231"/>
      <c r="AA130" s="484"/>
      <c r="AC130" s="914" t="s">
        <v>11</v>
      </c>
    </row>
    <row r="131" spans="1:29" ht="13.2" customHeight="1" x14ac:dyDescent="0.25">
      <c r="A131" s="484"/>
      <c r="B131" s="60"/>
      <c r="C131" s="1225" t="s">
        <v>1961</v>
      </c>
      <c r="D131" s="1225"/>
      <c r="E131" s="1225"/>
      <c r="F131" s="1225"/>
      <c r="G131" s="1225"/>
      <c r="H131" s="1225"/>
      <c r="I131" s="1225"/>
      <c r="J131" s="1225"/>
      <c r="K131" s="1225"/>
      <c r="L131" s="1225"/>
      <c r="M131" s="1225"/>
      <c r="N131" s="1225"/>
      <c r="O131" s="1225"/>
      <c r="P131" s="1225"/>
      <c r="Q131" s="1225"/>
      <c r="R131" s="1225"/>
      <c r="S131" s="1225"/>
      <c r="T131" s="1225"/>
      <c r="U131" s="1225"/>
      <c r="V131" s="1225"/>
      <c r="W131" s="1225"/>
      <c r="X131" s="1225"/>
      <c r="Y131" s="1225"/>
      <c r="Z131" s="1226"/>
      <c r="AA131" s="484"/>
      <c r="AC131" s="914" t="s">
        <v>11</v>
      </c>
    </row>
    <row r="132" spans="1:29" ht="13.8" thickBot="1" x14ac:dyDescent="0.3">
      <c r="A132" s="484"/>
      <c r="AA132" s="484"/>
      <c r="AC132" s="914"/>
    </row>
    <row r="133" spans="1:29" x14ac:dyDescent="0.25">
      <c r="A133" s="484"/>
      <c r="C133" s="145"/>
      <c r="D133" s="146"/>
      <c r="E133" s="1221" t="s">
        <v>202</v>
      </c>
      <c r="F133" s="1222"/>
      <c r="G133" s="1222"/>
      <c r="H133" s="1222"/>
      <c r="I133" s="1222"/>
      <c r="J133" s="1222"/>
      <c r="K133" s="1222"/>
      <c r="L133" s="1222"/>
      <c r="M133" s="1222"/>
      <c r="N133" s="1222"/>
      <c r="O133" s="1222"/>
      <c r="P133" s="1222"/>
      <c r="Q133" s="1222"/>
      <c r="R133" s="1222"/>
      <c r="S133" s="1222"/>
      <c r="T133" s="1222"/>
      <c r="U133" s="1222"/>
      <c r="V133" s="1222"/>
      <c r="W133" s="1232" t="s">
        <v>203</v>
      </c>
      <c r="X133" s="1232" t="s">
        <v>204</v>
      </c>
      <c r="Y133" s="1232" t="s">
        <v>205</v>
      </c>
      <c r="Z133" s="1223" t="str">
        <f>Translations!$B$1026</f>
        <v>Total number of flights</v>
      </c>
      <c r="AA133" s="484"/>
      <c r="AC133" s="914"/>
    </row>
    <row r="134" spans="1:29" ht="30.6" x14ac:dyDescent="0.25">
      <c r="A134" s="484"/>
      <c r="C134" s="148"/>
      <c r="D134" s="149"/>
      <c r="E134" s="52" t="str">
        <f>Translations!$B$981</f>
        <v>Jet kerosene (jet A1 or 
jet A)</v>
      </c>
      <c r="F134" s="52" t="str">
        <f>Translations!$B$274</f>
        <v>Jet gasoline (Jet B)</v>
      </c>
      <c r="G134" s="52" t="str">
        <f>Translations!$B$275</f>
        <v>Aviation gasoline (AvGas)</v>
      </c>
      <c r="H134" s="150" t="str">
        <f t="shared" ref="H134:V134" si="32">H$193</f>
        <v>4. HEFA</v>
      </c>
      <c r="I134" s="150" t="str">
        <f t="shared" si="32"/>
        <v>5. RFNBO EDDF</v>
      </c>
      <c r="J134" s="150" t="str">
        <f t="shared" si="32"/>
        <v>6. ATJ</v>
      </c>
      <c r="K134" s="150" t="str">
        <f t="shared" si="32"/>
        <v>Fuel 7</v>
      </c>
      <c r="L134" s="150" t="str">
        <f t="shared" si="32"/>
        <v>Fuel 8</v>
      </c>
      <c r="M134" s="150" t="str">
        <f t="shared" si="32"/>
        <v>Fuel 9</v>
      </c>
      <c r="N134" s="150" t="str">
        <f t="shared" si="32"/>
        <v>Fuel 10</v>
      </c>
      <c r="O134" s="150" t="str">
        <f t="shared" si="32"/>
        <v>Fuel 11</v>
      </c>
      <c r="P134" s="150" t="str">
        <f t="shared" si="32"/>
        <v>Fuel 12</v>
      </c>
      <c r="Q134" s="150" t="str">
        <f t="shared" si="32"/>
        <v>Fuel 13</v>
      </c>
      <c r="R134" s="150" t="str">
        <f t="shared" si="32"/>
        <v>Fuel 14</v>
      </c>
      <c r="S134" s="150" t="str">
        <f t="shared" si="32"/>
        <v>Fuel 15</v>
      </c>
      <c r="T134" s="150" t="str">
        <f t="shared" si="32"/>
        <v>Fuel 16</v>
      </c>
      <c r="U134" s="150" t="str">
        <f t="shared" si="32"/>
        <v>Fuel 17</v>
      </c>
      <c r="V134" s="150" t="str">
        <f t="shared" si="32"/>
        <v>Fuel 18</v>
      </c>
      <c r="W134" s="1233"/>
      <c r="X134" s="1233"/>
      <c r="Y134" s="1233"/>
      <c r="Z134" s="1224"/>
      <c r="AA134" s="484"/>
      <c r="AC134" s="914"/>
    </row>
    <row r="135" spans="1:29" ht="39.9" customHeight="1" x14ac:dyDescent="0.25">
      <c r="A135" s="484"/>
      <c r="B135" s="125" t="s">
        <v>207</v>
      </c>
      <c r="C135" s="1094" t="str">
        <f>Translations!$B$1282</f>
        <v>Total aggregated CO2 emissions from all flights relating to the scope of the CH ETS 
(= B + C)</v>
      </c>
      <c r="D135" s="1096"/>
      <c r="E135" s="680">
        <f>SUM(E136,E137)</f>
        <v>0</v>
      </c>
      <c r="F135" s="680">
        <f t="shared" ref="F135:Z135" si="33">SUM(F136,F137)</f>
        <v>0</v>
      </c>
      <c r="G135" s="680">
        <f t="shared" si="33"/>
        <v>0</v>
      </c>
      <c r="H135" s="680">
        <f t="shared" si="33"/>
        <v>0</v>
      </c>
      <c r="I135" s="680">
        <f t="shared" si="33"/>
        <v>0</v>
      </c>
      <c r="J135" s="680">
        <f t="shared" si="33"/>
        <v>0</v>
      </c>
      <c r="K135" s="680">
        <f t="shared" si="33"/>
        <v>0</v>
      </c>
      <c r="L135" s="680">
        <f t="shared" si="33"/>
        <v>0</v>
      </c>
      <c r="M135" s="680">
        <f t="shared" si="33"/>
        <v>0</v>
      </c>
      <c r="N135" s="680">
        <f t="shared" si="33"/>
        <v>0</v>
      </c>
      <c r="O135" s="680">
        <f t="shared" si="33"/>
        <v>0</v>
      </c>
      <c r="P135" s="680">
        <f t="shared" si="33"/>
        <v>0</v>
      </c>
      <c r="Q135" s="680">
        <f t="shared" si="33"/>
        <v>0</v>
      </c>
      <c r="R135" s="680">
        <f t="shared" si="33"/>
        <v>0</v>
      </c>
      <c r="S135" s="680">
        <f t="shared" si="33"/>
        <v>0</v>
      </c>
      <c r="T135" s="680">
        <f t="shared" si="33"/>
        <v>0</v>
      </c>
      <c r="U135" s="680">
        <f t="shared" si="33"/>
        <v>0</v>
      </c>
      <c r="V135" s="680">
        <f t="shared" si="33"/>
        <v>0</v>
      </c>
      <c r="W135" s="680">
        <f t="shared" si="33"/>
        <v>0</v>
      </c>
      <c r="X135" s="680">
        <f t="shared" si="33"/>
        <v>0</v>
      </c>
      <c r="Y135" s="680">
        <f t="shared" si="33"/>
        <v>0</v>
      </c>
      <c r="Z135" s="671">
        <f t="shared" si="33"/>
        <v>0</v>
      </c>
      <c r="AA135" s="484"/>
      <c r="AC135" s="914"/>
    </row>
    <row r="136" spans="1:29" ht="39.9" customHeight="1" x14ac:dyDescent="0.25">
      <c r="A136" s="484"/>
      <c r="B136" s="125" t="s">
        <v>208</v>
      </c>
      <c r="C136" s="1227" t="str">
        <f>Translations!$B$1283</f>
        <v>Swiss domestic flights</v>
      </c>
      <c r="D136" s="1228"/>
      <c r="E136" s="668">
        <f>SUM(E146)</f>
        <v>0</v>
      </c>
      <c r="F136" s="668">
        <f t="shared" ref="F136:Z136" si="34">SUM(F146)</f>
        <v>0</v>
      </c>
      <c r="G136" s="668">
        <f t="shared" si="34"/>
        <v>0</v>
      </c>
      <c r="H136" s="668">
        <f t="shared" si="34"/>
        <v>0</v>
      </c>
      <c r="I136" s="668">
        <f t="shared" si="34"/>
        <v>0</v>
      </c>
      <c r="J136" s="668">
        <f t="shared" si="34"/>
        <v>0</v>
      </c>
      <c r="K136" s="668">
        <f t="shared" si="34"/>
        <v>0</v>
      </c>
      <c r="L136" s="668">
        <f t="shared" si="34"/>
        <v>0</v>
      </c>
      <c r="M136" s="668">
        <f t="shared" si="34"/>
        <v>0</v>
      </c>
      <c r="N136" s="668">
        <f t="shared" si="34"/>
        <v>0</v>
      </c>
      <c r="O136" s="668">
        <f t="shared" si="34"/>
        <v>0</v>
      </c>
      <c r="P136" s="668">
        <f t="shared" si="34"/>
        <v>0</v>
      </c>
      <c r="Q136" s="668">
        <f t="shared" si="34"/>
        <v>0</v>
      </c>
      <c r="R136" s="668">
        <f t="shared" si="34"/>
        <v>0</v>
      </c>
      <c r="S136" s="668">
        <f t="shared" si="34"/>
        <v>0</v>
      </c>
      <c r="T136" s="668">
        <f t="shared" si="34"/>
        <v>0</v>
      </c>
      <c r="U136" s="668">
        <f t="shared" si="34"/>
        <v>0</v>
      </c>
      <c r="V136" s="668">
        <f t="shared" si="34"/>
        <v>0</v>
      </c>
      <c r="W136" s="668">
        <f t="shared" si="34"/>
        <v>0</v>
      </c>
      <c r="X136" s="668">
        <f t="shared" si="34"/>
        <v>0</v>
      </c>
      <c r="Y136" s="668">
        <f t="shared" si="34"/>
        <v>0</v>
      </c>
      <c r="Z136" s="681">
        <f t="shared" si="34"/>
        <v>0</v>
      </c>
      <c r="AA136" s="484"/>
      <c r="AC136" s="914"/>
    </row>
    <row r="137" spans="1:29" ht="39.9" customHeight="1" thickBot="1" x14ac:dyDescent="0.3">
      <c r="A137" s="484"/>
      <c r="B137" s="125" t="s">
        <v>209</v>
      </c>
      <c r="C137" s="1227" t="str">
        <f>Translations!$B$1355</f>
        <v>Flights from Switzerland to EEA countries or to the UK</v>
      </c>
      <c r="D137" s="1228"/>
      <c r="E137" s="169">
        <f>SUM(E183)</f>
        <v>0</v>
      </c>
      <c r="F137" s="169">
        <f t="shared" ref="F137:Z137" si="35">SUM(F183)</f>
        <v>0</v>
      </c>
      <c r="G137" s="169">
        <f t="shared" si="35"/>
        <v>0</v>
      </c>
      <c r="H137" s="169">
        <f t="shared" si="35"/>
        <v>0</v>
      </c>
      <c r="I137" s="169">
        <f t="shared" si="35"/>
        <v>0</v>
      </c>
      <c r="J137" s="169">
        <f t="shared" si="35"/>
        <v>0</v>
      </c>
      <c r="K137" s="169">
        <f t="shared" si="35"/>
        <v>0</v>
      </c>
      <c r="L137" s="169">
        <f t="shared" si="35"/>
        <v>0</v>
      </c>
      <c r="M137" s="169">
        <f t="shared" si="35"/>
        <v>0</v>
      </c>
      <c r="N137" s="169">
        <f t="shared" si="35"/>
        <v>0</v>
      </c>
      <c r="O137" s="169">
        <f t="shared" si="35"/>
        <v>0</v>
      </c>
      <c r="P137" s="169">
        <f t="shared" si="35"/>
        <v>0</v>
      </c>
      <c r="Q137" s="169">
        <f t="shared" si="35"/>
        <v>0</v>
      </c>
      <c r="R137" s="169">
        <f t="shared" si="35"/>
        <v>0</v>
      </c>
      <c r="S137" s="169">
        <f t="shared" si="35"/>
        <v>0</v>
      </c>
      <c r="T137" s="169">
        <f t="shared" si="35"/>
        <v>0</v>
      </c>
      <c r="U137" s="169">
        <f t="shared" si="35"/>
        <v>0</v>
      </c>
      <c r="V137" s="169">
        <f t="shared" si="35"/>
        <v>0</v>
      </c>
      <c r="W137" s="169">
        <f t="shared" si="35"/>
        <v>0</v>
      </c>
      <c r="X137" s="169">
        <f t="shared" si="35"/>
        <v>0</v>
      </c>
      <c r="Y137" s="169">
        <f t="shared" si="35"/>
        <v>0</v>
      </c>
      <c r="Z137" s="682">
        <f t="shared" si="35"/>
        <v>0</v>
      </c>
      <c r="AA137" s="484"/>
      <c r="AC137" s="914"/>
    </row>
    <row r="138" spans="1:29" x14ac:dyDescent="0.25">
      <c r="A138" s="484"/>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364"/>
      <c r="AA138" s="484"/>
      <c r="AC138" s="914"/>
    </row>
    <row r="139" spans="1:29" x14ac:dyDescent="0.25">
      <c r="A139" s="484"/>
      <c r="C139" s="68" t="str">
        <f>Translations!$B$1285</f>
        <v>Total emissions entered in section 5(d):</v>
      </c>
      <c r="F139" s="168">
        <f>INDICATOR_CHETS_TotalEmissions</f>
        <v>0</v>
      </c>
      <c r="G139" s="170" t="s">
        <v>198</v>
      </c>
      <c r="AA139" s="484"/>
      <c r="AC139" s="914"/>
    </row>
    <row r="140" spans="1:29" x14ac:dyDescent="0.25">
      <c r="A140" s="484"/>
      <c r="C140" s="68" t="str">
        <f>Translations!$B$990</f>
        <v>Difference to data given in this sheet:</v>
      </c>
      <c r="F140" s="169">
        <f>F139-ROUND(Y135,0)</f>
        <v>0</v>
      </c>
      <c r="G140" s="170" t="s">
        <v>198</v>
      </c>
      <c r="AA140" s="484"/>
      <c r="AC140" s="914"/>
    </row>
    <row r="141" spans="1:29" x14ac:dyDescent="0.25">
      <c r="A141" s="484"/>
      <c r="AA141" s="484"/>
      <c r="AC141" s="914"/>
    </row>
    <row r="142" spans="1:29" x14ac:dyDescent="0.25">
      <c r="A142" s="484"/>
      <c r="B142" s="60" t="s">
        <v>34</v>
      </c>
      <c r="C142" s="128" t="str">
        <f>Translations!$B$1286</f>
        <v>Domestic flights:</v>
      </c>
      <c r="D142" s="128"/>
      <c r="E142" s="128"/>
      <c r="F142" s="128"/>
      <c r="G142" s="128"/>
      <c r="H142" s="128"/>
      <c r="I142" s="128"/>
      <c r="J142" s="128"/>
      <c r="K142" s="128"/>
      <c r="L142" s="128"/>
      <c r="M142" s="128"/>
      <c r="N142" s="128"/>
      <c r="O142" s="128"/>
      <c r="P142" s="128"/>
      <c r="Q142" s="128"/>
      <c r="R142" s="128"/>
      <c r="S142" s="128"/>
      <c r="T142" s="128"/>
      <c r="U142" s="128"/>
      <c r="V142" s="128"/>
      <c r="AA142" s="484"/>
      <c r="AC142" s="914"/>
    </row>
    <row r="143" spans="1:29" ht="25.5" customHeight="1" thickBot="1" x14ac:dyDescent="0.3">
      <c r="A143" s="484"/>
      <c r="C143" s="1200" t="s">
        <v>214</v>
      </c>
      <c r="D143" s="960"/>
      <c r="E143" s="960"/>
      <c r="F143" s="960"/>
      <c r="G143" s="960"/>
      <c r="H143" s="960"/>
      <c r="I143" s="960"/>
      <c r="J143" s="960"/>
      <c r="K143" s="960"/>
      <c r="L143" s="960"/>
      <c r="M143" s="960"/>
      <c r="N143" s="960"/>
      <c r="O143" s="960"/>
      <c r="P143" s="960"/>
      <c r="Q143" s="960"/>
      <c r="R143" s="960"/>
      <c r="S143" s="960"/>
      <c r="T143" s="960"/>
      <c r="U143" s="960"/>
      <c r="V143" s="960"/>
      <c r="W143" s="960"/>
      <c r="X143" s="960"/>
      <c r="Y143" s="960"/>
      <c r="Z143" s="960"/>
      <c r="AA143" s="484"/>
      <c r="AC143" s="914" t="s">
        <v>213</v>
      </c>
    </row>
    <row r="144" spans="1:29" ht="12.75" customHeight="1" x14ac:dyDescent="0.25">
      <c r="A144" s="484"/>
      <c r="C144" s="138"/>
      <c r="D144" s="151"/>
      <c r="E144" s="1221" t="s">
        <v>202</v>
      </c>
      <c r="F144" s="1222"/>
      <c r="G144" s="1222"/>
      <c r="H144" s="1222"/>
      <c r="I144" s="1222"/>
      <c r="J144" s="1222"/>
      <c r="K144" s="1222"/>
      <c r="L144" s="1222"/>
      <c r="M144" s="1222"/>
      <c r="N144" s="1222"/>
      <c r="O144" s="1222"/>
      <c r="P144" s="1222"/>
      <c r="Q144" s="1222"/>
      <c r="R144" s="1222"/>
      <c r="S144" s="1222"/>
      <c r="T144" s="1222"/>
      <c r="U144" s="1222"/>
      <c r="V144" s="1222"/>
      <c r="W144" s="1232" t="s">
        <v>203</v>
      </c>
      <c r="X144" s="1232" t="s">
        <v>204</v>
      </c>
      <c r="Y144" s="1232" t="s">
        <v>205</v>
      </c>
      <c r="Z144" s="1223" t="str">
        <f>Translations!$B$1026</f>
        <v>Total number of flights</v>
      </c>
      <c r="AA144" s="484"/>
      <c r="AC144" s="914"/>
    </row>
    <row r="145" spans="1:29" ht="30.6" x14ac:dyDescent="0.25">
      <c r="A145" s="484"/>
      <c r="C145" s="1219" t="str">
        <f>Translations!$B$1287</f>
        <v>State of departure and arrival</v>
      </c>
      <c r="D145" s="1234"/>
      <c r="E145" s="52" t="str">
        <f>Translations!$B$981</f>
        <v>Jet kerosene (jet A1 or 
jet A)</v>
      </c>
      <c r="F145" s="52" t="str">
        <f>Translations!$B$274</f>
        <v>Jet gasoline (Jet B)</v>
      </c>
      <c r="G145" s="52" t="str">
        <f>Translations!$B$275</f>
        <v>Aviation gasoline (AvGas)</v>
      </c>
      <c r="H145" s="150" t="str">
        <f t="shared" ref="H145:V145" si="36">H$193</f>
        <v>4. HEFA</v>
      </c>
      <c r="I145" s="150" t="str">
        <f t="shared" si="36"/>
        <v>5. RFNBO EDDF</v>
      </c>
      <c r="J145" s="150" t="str">
        <f t="shared" si="36"/>
        <v>6. ATJ</v>
      </c>
      <c r="K145" s="150" t="str">
        <f t="shared" si="36"/>
        <v>Fuel 7</v>
      </c>
      <c r="L145" s="150" t="str">
        <f t="shared" si="36"/>
        <v>Fuel 8</v>
      </c>
      <c r="M145" s="150" t="str">
        <f t="shared" si="36"/>
        <v>Fuel 9</v>
      </c>
      <c r="N145" s="150" t="str">
        <f t="shared" si="36"/>
        <v>Fuel 10</v>
      </c>
      <c r="O145" s="150" t="str">
        <f t="shared" si="36"/>
        <v>Fuel 11</v>
      </c>
      <c r="P145" s="150" t="str">
        <f t="shared" si="36"/>
        <v>Fuel 12</v>
      </c>
      <c r="Q145" s="150" t="str">
        <f t="shared" si="36"/>
        <v>Fuel 13</v>
      </c>
      <c r="R145" s="150" t="str">
        <f t="shared" si="36"/>
        <v>Fuel 14</v>
      </c>
      <c r="S145" s="150" t="str">
        <f t="shared" si="36"/>
        <v>Fuel 15</v>
      </c>
      <c r="T145" s="150" t="str">
        <f t="shared" si="36"/>
        <v>Fuel 16</v>
      </c>
      <c r="U145" s="150" t="str">
        <f t="shared" si="36"/>
        <v>Fuel 17</v>
      </c>
      <c r="V145" s="150" t="str">
        <f t="shared" si="36"/>
        <v>Fuel 18</v>
      </c>
      <c r="W145" s="1233"/>
      <c r="X145" s="1233"/>
      <c r="Y145" s="1233"/>
      <c r="Z145" s="1224"/>
      <c r="AA145" s="484"/>
      <c r="AC145" s="914"/>
    </row>
    <row r="146" spans="1:29" x14ac:dyDescent="0.25">
      <c r="A146" s="484"/>
      <c r="C146" s="152" t="str">
        <f>Translations!$B$574</f>
        <v>Switzerland</v>
      </c>
      <c r="D146" s="153"/>
      <c r="E146" s="87"/>
      <c r="F146" s="87"/>
      <c r="G146" s="87"/>
      <c r="H146" s="87"/>
      <c r="I146" s="87"/>
      <c r="J146" s="87"/>
      <c r="K146" s="87"/>
      <c r="L146" s="87"/>
      <c r="M146" s="87"/>
      <c r="N146" s="87"/>
      <c r="O146" s="87"/>
      <c r="P146" s="87"/>
      <c r="Q146" s="87"/>
      <c r="R146" s="87"/>
      <c r="S146" s="87"/>
      <c r="T146" s="87"/>
      <c r="U146" s="87"/>
      <c r="V146" s="87"/>
      <c r="W146" s="359">
        <f t="shared" ref="W146" si="37">SUMPRODUCT(E146:V146,$E$196:$V$196)</f>
        <v>0</v>
      </c>
      <c r="X146" s="359">
        <f t="shared" ref="X146" si="38">Y146-W146</f>
        <v>0</v>
      </c>
      <c r="Y146" s="359">
        <f t="shared" ref="Y146" si="39">SUMPRODUCT(E146:V146,$E$195:$V$195)</f>
        <v>0</v>
      </c>
      <c r="Z146" s="360"/>
      <c r="AA146" s="484"/>
      <c r="AC146" s="914"/>
    </row>
    <row r="147" spans="1:29" x14ac:dyDescent="0.25">
      <c r="A147" s="484"/>
      <c r="C147" s="128"/>
      <c r="D147" s="128"/>
      <c r="E147" s="128"/>
      <c r="F147" s="128"/>
      <c r="G147" s="128"/>
      <c r="H147" s="128"/>
      <c r="I147" s="128"/>
      <c r="J147" s="128"/>
      <c r="K147" s="128"/>
      <c r="L147" s="128"/>
      <c r="M147" s="128"/>
      <c r="N147" s="128"/>
      <c r="O147" s="128"/>
      <c r="P147" s="128"/>
      <c r="Q147" s="128"/>
      <c r="R147" s="128"/>
      <c r="S147" s="128"/>
      <c r="T147" s="128"/>
      <c r="U147" s="128"/>
      <c r="V147" s="128"/>
      <c r="AA147" s="484"/>
      <c r="AC147" s="914"/>
    </row>
    <row r="148" spans="1:29" x14ac:dyDescent="0.25">
      <c r="A148" s="484"/>
      <c r="B148" s="60" t="s">
        <v>35</v>
      </c>
      <c r="C148" s="1130" t="str">
        <f>Translations!$B$1288</f>
        <v>Aggregated CO2 emissions from all flights departing from Switzerland to an EEA Member State:</v>
      </c>
      <c r="D148" s="1129"/>
      <c r="E148" s="1129"/>
      <c r="F148" s="1129"/>
      <c r="G148" s="1129"/>
      <c r="H148" s="1129"/>
      <c r="I148" s="1129"/>
      <c r="J148" s="1129"/>
      <c r="K148" s="1129"/>
      <c r="L148" s="1129"/>
      <c r="M148" s="1129"/>
      <c r="N148" s="1129"/>
      <c r="O148" s="1129"/>
      <c r="P148" s="1129"/>
      <c r="Q148" s="1129"/>
      <c r="R148" s="1129"/>
      <c r="S148" s="1129"/>
      <c r="T148" s="1129"/>
      <c r="U148" s="1129"/>
      <c r="V148" s="1129"/>
      <c r="W148" s="1129"/>
      <c r="X148" s="1129"/>
      <c r="Y148" s="1129"/>
      <c r="AA148" s="484"/>
      <c r="AC148" s="914"/>
    </row>
    <row r="149" spans="1:29" ht="25.5" customHeight="1" thickBot="1" x14ac:dyDescent="0.3">
      <c r="A149" s="484"/>
      <c r="C149" s="1200" t="s">
        <v>214</v>
      </c>
      <c r="D149" s="960"/>
      <c r="E149" s="960"/>
      <c r="F149" s="960"/>
      <c r="G149" s="960"/>
      <c r="H149" s="960"/>
      <c r="I149" s="960"/>
      <c r="J149" s="960"/>
      <c r="K149" s="960"/>
      <c r="L149" s="960"/>
      <c r="M149" s="960"/>
      <c r="N149" s="960"/>
      <c r="O149" s="960"/>
      <c r="P149" s="960"/>
      <c r="Q149" s="960"/>
      <c r="R149" s="960"/>
      <c r="S149" s="960"/>
      <c r="T149" s="960"/>
      <c r="U149" s="960"/>
      <c r="V149" s="960"/>
      <c r="W149" s="960"/>
      <c r="X149" s="960"/>
      <c r="Y149" s="960"/>
      <c r="Z149" s="960"/>
      <c r="AA149" s="484"/>
      <c r="AC149" s="914" t="s">
        <v>213</v>
      </c>
    </row>
    <row r="150" spans="1:29" ht="12.75" customHeight="1" x14ac:dyDescent="0.25">
      <c r="A150" s="484"/>
      <c r="C150" s="138"/>
      <c r="D150" s="151"/>
      <c r="E150" s="1221" t="s">
        <v>202</v>
      </c>
      <c r="F150" s="1222"/>
      <c r="G150" s="1222"/>
      <c r="H150" s="1222"/>
      <c r="I150" s="1222"/>
      <c r="J150" s="1222"/>
      <c r="K150" s="1222"/>
      <c r="L150" s="1222"/>
      <c r="M150" s="1222"/>
      <c r="N150" s="1222"/>
      <c r="O150" s="1222"/>
      <c r="P150" s="1222"/>
      <c r="Q150" s="1222"/>
      <c r="R150" s="1222"/>
      <c r="S150" s="1222"/>
      <c r="T150" s="1222"/>
      <c r="U150" s="1222"/>
      <c r="V150" s="1222"/>
      <c r="W150" s="1232" t="s">
        <v>203</v>
      </c>
      <c r="X150" s="1232" t="s">
        <v>204</v>
      </c>
      <c r="Y150" s="1232" t="s">
        <v>205</v>
      </c>
      <c r="Z150" s="1223" t="str">
        <f>Translations!$B$1026</f>
        <v>Total number of flights</v>
      </c>
      <c r="AA150" s="484"/>
    </row>
    <row r="151" spans="1:29" ht="30.6" x14ac:dyDescent="0.25">
      <c r="A151" s="484"/>
      <c r="C151" s="52" t="str">
        <f>Translations!$B$996</f>
        <v>Member State of departure</v>
      </c>
      <c r="D151" s="52" t="str">
        <f>Translations!$B$997</f>
        <v>State of arrival</v>
      </c>
      <c r="E151" s="52" t="str">
        <f>Translations!$B$981</f>
        <v>Jet kerosene (jet A1 or 
jet A)</v>
      </c>
      <c r="F151" s="52" t="str">
        <f>Translations!$B$274</f>
        <v>Jet gasoline (Jet B)</v>
      </c>
      <c r="G151" s="52" t="str">
        <f>Translations!$B$275</f>
        <v>Aviation gasoline (AvGas)</v>
      </c>
      <c r="H151" s="150" t="str">
        <f t="shared" ref="H151:V151" si="40">H$193</f>
        <v>4. HEFA</v>
      </c>
      <c r="I151" s="150" t="str">
        <f t="shared" si="40"/>
        <v>5. RFNBO EDDF</v>
      </c>
      <c r="J151" s="150" t="str">
        <f t="shared" si="40"/>
        <v>6. ATJ</v>
      </c>
      <c r="K151" s="150" t="str">
        <f t="shared" si="40"/>
        <v>Fuel 7</v>
      </c>
      <c r="L151" s="150" t="str">
        <f t="shared" si="40"/>
        <v>Fuel 8</v>
      </c>
      <c r="M151" s="150" t="str">
        <f t="shared" si="40"/>
        <v>Fuel 9</v>
      </c>
      <c r="N151" s="150" t="str">
        <f t="shared" si="40"/>
        <v>Fuel 10</v>
      </c>
      <c r="O151" s="150" t="str">
        <f t="shared" si="40"/>
        <v>Fuel 11</v>
      </c>
      <c r="P151" s="150" t="str">
        <f t="shared" si="40"/>
        <v>Fuel 12</v>
      </c>
      <c r="Q151" s="150" t="str">
        <f t="shared" si="40"/>
        <v>Fuel 13</v>
      </c>
      <c r="R151" s="150" t="str">
        <f t="shared" si="40"/>
        <v>Fuel 14</v>
      </c>
      <c r="S151" s="150" t="str">
        <f t="shared" si="40"/>
        <v>Fuel 15</v>
      </c>
      <c r="T151" s="150" t="str">
        <f t="shared" si="40"/>
        <v>Fuel 16</v>
      </c>
      <c r="U151" s="150" t="str">
        <f t="shared" si="40"/>
        <v>Fuel 17</v>
      </c>
      <c r="V151" s="150" t="str">
        <f t="shared" si="40"/>
        <v>Fuel 18</v>
      </c>
      <c r="W151" s="1233"/>
      <c r="X151" s="1233"/>
      <c r="Y151" s="1233"/>
      <c r="Z151" s="1224"/>
      <c r="AA151" s="484"/>
    </row>
    <row r="152" spans="1:29" x14ac:dyDescent="0.25">
      <c r="A152" s="484"/>
      <c r="C152" s="152" t="str">
        <f>Translations!$B$574</f>
        <v>Switzerland</v>
      </c>
      <c r="D152" s="152" t="str">
        <f>Translations!$B$369</f>
        <v>Austria</v>
      </c>
      <c r="E152" s="678"/>
      <c r="F152" s="678"/>
      <c r="G152" s="678"/>
      <c r="H152" s="678"/>
      <c r="I152" s="678"/>
      <c r="J152" s="678"/>
      <c r="K152" s="678"/>
      <c r="L152" s="678"/>
      <c r="M152" s="678"/>
      <c r="N152" s="678"/>
      <c r="O152" s="678"/>
      <c r="P152" s="678"/>
      <c r="Q152" s="678"/>
      <c r="R152" s="678"/>
      <c r="S152" s="678"/>
      <c r="T152" s="678"/>
      <c r="U152" s="678"/>
      <c r="V152" s="678"/>
      <c r="W152" s="359">
        <f t="shared" ref="W152:W182" si="41">SUMPRODUCT(E152:V152,$E$196:$V$196)</f>
        <v>0</v>
      </c>
      <c r="X152" s="359">
        <f t="shared" ref="X152:X182" si="42">Y152-W152</f>
        <v>0</v>
      </c>
      <c r="Y152" s="359">
        <f t="shared" ref="Y152:Y182" si="43">SUMPRODUCT(E152:V152,$E$195:$V$195)</f>
        <v>0</v>
      </c>
      <c r="Z152" s="679"/>
      <c r="AA152" s="484"/>
    </row>
    <row r="153" spans="1:29" x14ac:dyDescent="0.25">
      <c r="A153" s="484"/>
      <c r="C153" s="152" t="str">
        <f>Translations!$B$574</f>
        <v>Switzerland</v>
      </c>
      <c r="D153" s="152" t="str">
        <f>Translations!$B$370</f>
        <v>Belgium</v>
      </c>
      <c r="E153" s="678"/>
      <c r="F153" s="678"/>
      <c r="G153" s="678"/>
      <c r="H153" s="678"/>
      <c r="I153" s="678"/>
      <c r="J153" s="678"/>
      <c r="K153" s="678"/>
      <c r="L153" s="678"/>
      <c r="M153" s="678"/>
      <c r="N153" s="678"/>
      <c r="O153" s="678"/>
      <c r="P153" s="678"/>
      <c r="Q153" s="678"/>
      <c r="R153" s="678"/>
      <c r="S153" s="678"/>
      <c r="T153" s="678"/>
      <c r="U153" s="678"/>
      <c r="V153" s="678"/>
      <c r="W153" s="359">
        <f t="shared" si="41"/>
        <v>0</v>
      </c>
      <c r="X153" s="359">
        <f t="shared" si="42"/>
        <v>0</v>
      </c>
      <c r="Y153" s="359">
        <f t="shared" si="43"/>
        <v>0</v>
      </c>
      <c r="Z153" s="679"/>
      <c r="AA153" s="484"/>
    </row>
    <row r="154" spans="1:29" x14ac:dyDescent="0.25">
      <c r="A154" s="484"/>
      <c r="C154" s="152" t="str">
        <f>Translations!$B$574</f>
        <v>Switzerland</v>
      </c>
      <c r="D154" s="152" t="str">
        <f>Translations!$B$371</f>
        <v>Bulgaria</v>
      </c>
      <c r="E154" s="678"/>
      <c r="F154" s="678"/>
      <c r="G154" s="678"/>
      <c r="H154" s="678"/>
      <c r="I154" s="678"/>
      <c r="J154" s="678"/>
      <c r="K154" s="678"/>
      <c r="L154" s="678"/>
      <c r="M154" s="678"/>
      <c r="N154" s="678"/>
      <c r="O154" s="678"/>
      <c r="P154" s="678"/>
      <c r="Q154" s="678"/>
      <c r="R154" s="678"/>
      <c r="S154" s="678"/>
      <c r="T154" s="678"/>
      <c r="U154" s="678"/>
      <c r="V154" s="678"/>
      <c r="W154" s="359">
        <f t="shared" si="41"/>
        <v>0</v>
      </c>
      <c r="X154" s="359">
        <f t="shared" si="42"/>
        <v>0</v>
      </c>
      <c r="Y154" s="359">
        <f t="shared" si="43"/>
        <v>0</v>
      </c>
      <c r="Z154" s="679"/>
      <c r="AA154" s="484"/>
    </row>
    <row r="155" spans="1:29" x14ac:dyDescent="0.25">
      <c r="A155" s="484"/>
      <c r="C155" s="152" t="str">
        <f>Translations!$B$574</f>
        <v>Switzerland</v>
      </c>
      <c r="D155" s="152" t="str">
        <f>Translations!$B$372</f>
        <v>Croatia</v>
      </c>
      <c r="E155" s="678"/>
      <c r="F155" s="678"/>
      <c r="G155" s="678"/>
      <c r="H155" s="678"/>
      <c r="I155" s="678"/>
      <c r="J155" s="678"/>
      <c r="K155" s="678"/>
      <c r="L155" s="678"/>
      <c r="M155" s="678"/>
      <c r="N155" s="678"/>
      <c r="O155" s="678"/>
      <c r="P155" s="678"/>
      <c r="Q155" s="678"/>
      <c r="R155" s="678"/>
      <c r="S155" s="678"/>
      <c r="T155" s="678"/>
      <c r="U155" s="678"/>
      <c r="V155" s="678"/>
      <c r="W155" s="359">
        <f t="shared" si="41"/>
        <v>0</v>
      </c>
      <c r="X155" s="359">
        <f t="shared" si="42"/>
        <v>0</v>
      </c>
      <c r="Y155" s="359">
        <f t="shared" si="43"/>
        <v>0</v>
      </c>
      <c r="Z155" s="679"/>
      <c r="AA155" s="484"/>
    </row>
    <row r="156" spans="1:29" x14ac:dyDescent="0.25">
      <c r="A156" s="484"/>
      <c r="C156" s="152" t="str">
        <f>Translations!$B$574</f>
        <v>Switzerland</v>
      </c>
      <c r="D156" s="152" t="str">
        <f>Translations!$B$373</f>
        <v>Cyprus</v>
      </c>
      <c r="E156" s="678"/>
      <c r="F156" s="678"/>
      <c r="G156" s="678"/>
      <c r="H156" s="678"/>
      <c r="I156" s="678"/>
      <c r="J156" s="678"/>
      <c r="K156" s="678"/>
      <c r="L156" s="678"/>
      <c r="M156" s="678"/>
      <c r="N156" s="678"/>
      <c r="O156" s="678"/>
      <c r="P156" s="678"/>
      <c r="Q156" s="678"/>
      <c r="R156" s="678"/>
      <c r="S156" s="678"/>
      <c r="T156" s="678"/>
      <c r="U156" s="678"/>
      <c r="V156" s="678"/>
      <c r="W156" s="359">
        <f t="shared" si="41"/>
        <v>0</v>
      </c>
      <c r="X156" s="359">
        <f t="shared" si="42"/>
        <v>0</v>
      </c>
      <c r="Y156" s="359">
        <f t="shared" si="43"/>
        <v>0</v>
      </c>
      <c r="Z156" s="679"/>
      <c r="AA156" s="484"/>
    </row>
    <row r="157" spans="1:29" x14ac:dyDescent="0.25">
      <c r="A157" s="484"/>
      <c r="C157" s="152" t="str">
        <f>Translations!$B$574</f>
        <v>Switzerland</v>
      </c>
      <c r="D157" s="152" t="str">
        <f>Translations!$B$374</f>
        <v>Czechia</v>
      </c>
      <c r="E157" s="678"/>
      <c r="F157" s="678"/>
      <c r="G157" s="678"/>
      <c r="H157" s="678"/>
      <c r="I157" s="678"/>
      <c r="J157" s="678"/>
      <c r="K157" s="678"/>
      <c r="L157" s="678"/>
      <c r="M157" s="678"/>
      <c r="N157" s="678"/>
      <c r="O157" s="678"/>
      <c r="P157" s="678"/>
      <c r="Q157" s="678"/>
      <c r="R157" s="678"/>
      <c r="S157" s="678"/>
      <c r="T157" s="678"/>
      <c r="U157" s="678"/>
      <c r="V157" s="678"/>
      <c r="W157" s="359">
        <f t="shared" si="41"/>
        <v>0</v>
      </c>
      <c r="X157" s="359">
        <f t="shared" si="42"/>
        <v>0</v>
      </c>
      <c r="Y157" s="359">
        <f t="shared" si="43"/>
        <v>0</v>
      </c>
      <c r="Z157" s="679"/>
      <c r="AA157" s="484"/>
    </row>
    <row r="158" spans="1:29" x14ac:dyDescent="0.25">
      <c r="A158" s="484"/>
      <c r="C158" s="152" t="str">
        <f>Translations!$B$574</f>
        <v>Switzerland</v>
      </c>
      <c r="D158" s="152" t="str">
        <f>Translations!$B$375</f>
        <v>Denmark</v>
      </c>
      <c r="E158" s="678"/>
      <c r="F158" s="678"/>
      <c r="G158" s="678"/>
      <c r="H158" s="678"/>
      <c r="I158" s="678"/>
      <c r="J158" s="678"/>
      <c r="K158" s="678"/>
      <c r="L158" s="678"/>
      <c r="M158" s="678"/>
      <c r="N158" s="678"/>
      <c r="O158" s="678"/>
      <c r="P158" s="678"/>
      <c r="Q158" s="678"/>
      <c r="R158" s="678"/>
      <c r="S158" s="678"/>
      <c r="T158" s="678"/>
      <c r="U158" s="678"/>
      <c r="V158" s="678"/>
      <c r="W158" s="359">
        <f t="shared" si="41"/>
        <v>0</v>
      </c>
      <c r="X158" s="359">
        <f t="shared" si="42"/>
        <v>0</v>
      </c>
      <c r="Y158" s="359">
        <f t="shared" si="43"/>
        <v>0</v>
      </c>
      <c r="Z158" s="679"/>
      <c r="AA158" s="484"/>
    </row>
    <row r="159" spans="1:29" x14ac:dyDescent="0.25">
      <c r="A159" s="484"/>
      <c r="C159" s="152" t="str">
        <f>Translations!$B$574</f>
        <v>Switzerland</v>
      </c>
      <c r="D159" s="152" t="str">
        <f>Translations!$B$376</f>
        <v>Estonia</v>
      </c>
      <c r="E159" s="678"/>
      <c r="F159" s="678"/>
      <c r="G159" s="678"/>
      <c r="H159" s="678"/>
      <c r="I159" s="678"/>
      <c r="J159" s="678"/>
      <c r="K159" s="678"/>
      <c r="L159" s="678"/>
      <c r="M159" s="678"/>
      <c r="N159" s="678"/>
      <c r="O159" s="678"/>
      <c r="P159" s="678"/>
      <c r="Q159" s="678"/>
      <c r="R159" s="678"/>
      <c r="S159" s="678"/>
      <c r="T159" s="678"/>
      <c r="U159" s="678"/>
      <c r="V159" s="678"/>
      <c r="W159" s="359">
        <f t="shared" si="41"/>
        <v>0</v>
      </c>
      <c r="X159" s="359">
        <f t="shared" si="42"/>
        <v>0</v>
      </c>
      <c r="Y159" s="359">
        <f t="shared" si="43"/>
        <v>0</v>
      </c>
      <c r="Z159" s="679"/>
      <c r="AA159" s="484"/>
    </row>
    <row r="160" spans="1:29" x14ac:dyDescent="0.25">
      <c r="A160" s="484"/>
      <c r="C160" s="152" t="str">
        <f>Translations!$B$574</f>
        <v>Switzerland</v>
      </c>
      <c r="D160" s="152" t="str">
        <f>Translations!$B$377</f>
        <v>Finland</v>
      </c>
      <c r="E160" s="678"/>
      <c r="F160" s="678"/>
      <c r="G160" s="678"/>
      <c r="H160" s="678"/>
      <c r="I160" s="678"/>
      <c r="J160" s="678"/>
      <c r="K160" s="678"/>
      <c r="L160" s="678"/>
      <c r="M160" s="678"/>
      <c r="N160" s="678"/>
      <c r="O160" s="678"/>
      <c r="P160" s="678"/>
      <c r="Q160" s="678"/>
      <c r="R160" s="678"/>
      <c r="S160" s="678"/>
      <c r="T160" s="678"/>
      <c r="U160" s="678"/>
      <c r="V160" s="678"/>
      <c r="W160" s="359">
        <f t="shared" si="41"/>
        <v>0</v>
      </c>
      <c r="X160" s="359">
        <f t="shared" si="42"/>
        <v>0</v>
      </c>
      <c r="Y160" s="359">
        <f t="shared" si="43"/>
        <v>0</v>
      </c>
      <c r="Z160" s="679"/>
      <c r="AA160" s="484"/>
    </row>
    <row r="161" spans="1:27" x14ac:dyDescent="0.25">
      <c r="A161" s="484"/>
      <c r="C161" s="152" t="str">
        <f>Translations!$B$574</f>
        <v>Switzerland</v>
      </c>
      <c r="D161" s="152" t="str">
        <f>Translations!$B$378</f>
        <v>France</v>
      </c>
      <c r="E161" s="678"/>
      <c r="F161" s="678"/>
      <c r="G161" s="678"/>
      <c r="H161" s="678"/>
      <c r="I161" s="678"/>
      <c r="J161" s="678"/>
      <c r="K161" s="678"/>
      <c r="L161" s="678"/>
      <c r="M161" s="678"/>
      <c r="N161" s="678"/>
      <c r="O161" s="678"/>
      <c r="P161" s="678"/>
      <c r="Q161" s="678"/>
      <c r="R161" s="678"/>
      <c r="S161" s="678"/>
      <c r="T161" s="678"/>
      <c r="U161" s="678"/>
      <c r="V161" s="678"/>
      <c r="W161" s="359">
        <f t="shared" si="41"/>
        <v>0</v>
      </c>
      <c r="X161" s="359">
        <f t="shared" si="42"/>
        <v>0</v>
      </c>
      <c r="Y161" s="359">
        <f t="shared" si="43"/>
        <v>0</v>
      </c>
      <c r="Z161" s="679"/>
      <c r="AA161" s="484"/>
    </row>
    <row r="162" spans="1:27" x14ac:dyDescent="0.25">
      <c r="A162" s="484"/>
      <c r="C162" s="152" t="str">
        <f>Translations!$B$574</f>
        <v>Switzerland</v>
      </c>
      <c r="D162" s="152" t="str">
        <f>Translations!$B$379</f>
        <v>Germany</v>
      </c>
      <c r="E162" s="678"/>
      <c r="F162" s="678"/>
      <c r="G162" s="678"/>
      <c r="H162" s="678"/>
      <c r="I162" s="678"/>
      <c r="J162" s="678"/>
      <c r="K162" s="678"/>
      <c r="L162" s="678"/>
      <c r="M162" s="678"/>
      <c r="N162" s="678"/>
      <c r="O162" s="678"/>
      <c r="P162" s="678"/>
      <c r="Q162" s="678"/>
      <c r="R162" s="678"/>
      <c r="S162" s="678"/>
      <c r="T162" s="678"/>
      <c r="U162" s="678"/>
      <c r="V162" s="678"/>
      <c r="W162" s="359">
        <f t="shared" si="41"/>
        <v>0</v>
      </c>
      <c r="X162" s="359">
        <f t="shared" si="42"/>
        <v>0</v>
      </c>
      <c r="Y162" s="359">
        <f t="shared" si="43"/>
        <v>0</v>
      </c>
      <c r="Z162" s="679"/>
      <c r="AA162" s="484"/>
    </row>
    <row r="163" spans="1:27" x14ac:dyDescent="0.25">
      <c r="A163" s="484"/>
      <c r="C163" s="152" t="str">
        <f>Translations!$B$574</f>
        <v>Switzerland</v>
      </c>
      <c r="D163" s="152" t="str">
        <f>Translations!$B$380</f>
        <v>Greece</v>
      </c>
      <c r="E163" s="678"/>
      <c r="F163" s="678"/>
      <c r="G163" s="678"/>
      <c r="H163" s="678"/>
      <c r="I163" s="678"/>
      <c r="J163" s="678"/>
      <c r="K163" s="678"/>
      <c r="L163" s="678"/>
      <c r="M163" s="678"/>
      <c r="N163" s="678"/>
      <c r="O163" s="678"/>
      <c r="P163" s="678"/>
      <c r="Q163" s="678"/>
      <c r="R163" s="678"/>
      <c r="S163" s="678"/>
      <c r="T163" s="678"/>
      <c r="U163" s="678"/>
      <c r="V163" s="678"/>
      <c r="W163" s="359">
        <f t="shared" si="41"/>
        <v>0</v>
      </c>
      <c r="X163" s="359">
        <f t="shared" si="42"/>
        <v>0</v>
      </c>
      <c r="Y163" s="359">
        <f t="shared" si="43"/>
        <v>0</v>
      </c>
      <c r="Z163" s="679"/>
      <c r="AA163" s="484"/>
    </row>
    <row r="164" spans="1:27" x14ac:dyDescent="0.25">
      <c r="A164" s="484"/>
      <c r="C164" s="152" t="str">
        <f>Translations!$B$574</f>
        <v>Switzerland</v>
      </c>
      <c r="D164" s="152" t="str">
        <f>Translations!$B$381</f>
        <v>Hungary</v>
      </c>
      <c r="E164" s="678"/>
      <c r="F164" s="678"/>
      <c r="G164" s="678"/>
      <c r="H164" s="678"/>
      <c r="I164" s="678"/>
      <c r="J164" s="678"/>
      <c r="K164" s="678"/>
      <c r="L164" s="678"/>
      <c r="M164" s="678"/>
      <c r="N164" s="678"/>
      <c r="O164" s="678"/>
      <c r="P164" s="678"/>
      <c r="Q164" s="678"/>
      <c r="R164" s="678"/>
      <c r="S164" s="678"/>
      <c r="T164" s="678"/>
      <c r="U164" s="678"/>
      <c r="V164" s="678"/>
      <c r="W164" s="359">
        <f t="shared" si="41"/>
        <v>0</v>
      </c>
      <c r="X164" s="359">
        <f t="shared" si="42"/>
        <v>0</v>
      </c>
      <c r="Y164" s="359">
        <f t="shared" si="43"/>
        <v>0</v>
      </c>
      <c r="Z164" s="679"/>
      <c r="AA164" s="484"/>
    </row>
    <row r="165" spans="1:27" x14ac:dyDescent="0.25">
      <c r="A165" s="484"/>
      <c r="C165" s="152" t="str">
        <f>Translations!$B$574</f>
        <v>Switzerland</v>
      </c>
      <c r="D165" s="152" t="str">
        <f>Translations!$B$382</f>
        <v>Iceland</v>
      </c>
      <c r="E165" s="678"/>
      <c r="F165" s="678"/>
      <c r="G165" s="678"/>
      <c r="H165" s="678"/>
      <c r="I165" s="678"/>
      <c r="J165" s="678"/>
      <c r="K165" s="678"/>
      <c r="L165" s="678"/>
      <c r="M165" s="678"/>
      <c r="N165" s="678"/>
      <c r="O165" s="678"/>
      <c r="P165" s="678"/>
      <c r="Q165" s="678"/>
      <c r="R165" s="678"/>
      <c r="S165" s="678"/>
      <c r="T165" s="678"/>
      <c r="U165" s="678"/>
      <c r="V165" s="678"/>
      <c r="W165" s="359">
        <f t="shared" si="41"/>
        <v>0</v>
      </c>
      <c r="X165" s="359">
        <f t="shared" si="42"/>
        <v>0</v>
      </c>
      <c r="Y165" s="359">
        <f t="shared" si="43"/>
        <v>0</v>
      </c>
      <c r="Z165" s="679"/>
      <c r="AA165" s="484"/>
    </row>
    <row r="166" spans="1:27" x14ac:dyDescent="0.25">
      <c r="A166" s="484"/>
      <c r="C166" s="152" t="str">
        <f>Translations!$B$574</f>
        <v>Switzerland</v>
      </c>
      <c r="D166" s="152" t="str">
        <f>Translations!$B$383</f>
        <v>Ireland</v>
      </c>
      <c r="E166" s="678"/>
      <c r="F166" s="678"/>
      <c r="G166" s="678"/>
      <c r="H166" s="678"/>
      <c r="I166" s="678"/>
      <c r="J166" s="678"/>
      <c r="K166" s="678"/>
      <c r="L166" s="678"/>
      <c r="M166" s="678"/>
      <c r="N166" s="678"/>
      <c r="O166" s="678"/>
      <c r="P166" s="678"/>
      <c r="Q166" s="678"/>
      <c r="R166" s="678"/>
      <c r="S166" s="678"/>
      <c r="T166" s="678"/>
      <c r="U166" s="678"/>
      <c r="V166" s="678"/>
      <c r="W166" s="359">
        <f t="shared" si="41"/>
        <v>0</v>
      </c>
      <c r="X166" s="359">
        <f t="shared" si="42"/>
        <v>0</v>
      </c>
      <c r="Y166" s="359">
        <f t="shared" si="43"/>
        <v>0</v>
      </c>
      <c r="Z166" s="679"/>
      <c r="AA166" s="484"/>
    </row>
    <row r="167" spans="1:27" x14ac:dyDescent="0.25">
      <c r="A167" s="484"/>
      <c r="C167" s="152" t="str">
        <f>Translations!$B$574</f>
        <v>Switzerland</v>
      </c>
      <c r="D167" s="152" t="str">
        <f>Translations!$B$384</f>
        <v>Italy</v>
      </c>
      <c r="E167" s="678"/>
      <c r="F167" s="678"/>
      <c r="G167" s="678"/>
      <c r="H167" s="678"/>
      <c r="I167" s="678"/>
      <c r="J167" s="678"/>
      <c r="K167" s="678"/>
      <c r="L167" s="678"/>
      <c r="M167" s="678"/>
      <c r="N167" s="678"/>
      <c r="O167" s="678"/>
      <c r="P167" s="678"/>
      <c r="Q167" s="678"/>
      <c r="R167" s="678"/>
      <c r="S167" s="678"/>
      <c r="T167" s="678"/>
      <c r="U167" s="678"/>
      <c r="V167" s="678"/>
      <c r="W167" s="359">
        <f t="shared" si="41"/>
        <v>0</v>
      </c>
      <c r="X167" s="359">
        <f t="shared" si="42"/>
        <v>0</v>
      </c>
      <c r="Y167" s="359">
        <f t="shared" si="43"/>
        <v>0</v>
      </c>
      <c r="Z167" s="679"/>
      <c r="AA167" s="484"/>
    </row>
    <row r="168" spans="1:27" x14ac:dyDescent="0.25">
      <c r="A168" s="484"/>
      <c r="C168" s="152" t="str">
        <f>Translations!$B$574</f>
        <v>Switzerland</v>
      </c>
      <c r="D168" s="152" t="str">
        <f>Translations!$B$385</f>
        <v>Latvia</v>
      </c>
      <c r="E168" s="678"/>
      <c r="F168" s="678"/>
      <c r="G168" s="678"/>
      <c r="H168" s="678"/>
      <c r="I168" s="678"/>
      <c r="J168" s="678"/>
      <c r="K168" s="678"/>
      <c r="L168" s="678"/>
      <c r="M168" s="678"/>
      <c r="N168" s="678"/>
      <c r="O168" s="678"/>
      <c r="P168" s="678"/>
      <c r="Q168" s="678"/>
      <c r="R168" s="678"/>
      <c r="S168" s="678"/>
      <c r="T168" s="678"/>
      <c r="U168" s="678"/>
      <c r="V168" s="678"/>
      <c r="W168" s="359">
        <f t="shared" si="41"/>
        <v>0</v>
      </c>
      <c r="X168" s="359">
        <f t="shared" si="42"/>
        <v>0</v>
      </c>
      <c r="Y168" s="359">
        <f t="shared" si="43"/>
        <v>0</v>
      </c>
      <c r="Z168" s="679"/>
      <c r="AA168" s="484"/>
    </row>
    <row r="169" spans="1:27" x14ac:dyDescent="0.25">
      <c r="A169" s="484"/>
      <c r="C169" s="152" t="str">
        <f>Translations!$B$574</f>
        <v>Switzerland</v>
      </c>
      <c r="D169" s="152" t="str">
        <f>Translations!$B$386</f>
        <v>Liechtenstein</v>
      </c>
      <c r="E169" s="678"/>
      <c r="F169" s="678"/>
      <c r="G169" s="678"/>
      <c r="H169" s="678"/>
      <c r="I169" s="678"/>
      <c r="J169" s="678"/>
      <c r="K169" s="678"/>
      <c r="L169" s="678"/>
      <c r="M169" s="678"/>
      <c r="N169" s="678"/>
      <c r="O169" s="678"/>
      <c r="P169" s="678"/>
      <c r="Q169" s="678"/>
      <c r="R169" s="678"/>
      <c r="S169" s="678"/>
      <c r="T169" s="678"/>
      <c r="U169" s="678"/>
      <c r="V169" s="678"/>
      <c r="W169" s="359">
        <f t="shared" si="41"/>
        <v>0</v>
      </c>
      <c r="X169" s="359">
        <f t="shared" si="42"/>
        <v>0</v>
      </c>
      <c r="Y169" s="359">
        <f t="shared" si="43"/>
        <v>0</v>
      </c>
      <c r="Z169" s="679"/>
      <c r="AA169" s="484"/>
    </row>
    <row r="170" spans="1:27" x14ac:dyDescent="0.25">
      <c r="A170" s="484"/>
      <c r="C170" s="152" t="str">
        <f>Translations!$B$574</f>
        <v>Switzerland</v>
      </c>
      <c r="D170" s="152" t="str">
        <f>Translations!$B$387</f>
        <v>Lithuania</v>
      </c>
      <c r="E170" s="678"/>
      <c r="F170" s="678"/>
      <c r="G170" s="678"/>
      <c r="H170" s="678"/>
      <c r="I170" s="678"/>
      <c r="J170" s="678"/>
      <c r="K170" s="678"/>
      <c r="L170" s="678"/>
      <c r="M170" s="678"/>
      <c r="N170" s="678"/>
      <c r="O170" s="678"/>
      <c r="P170" s="678"/>
      <c r="Q170" s="678"/>
      <c r="R170" s="678"/>
      <c r="S170" s="678"/>
      <c r="T170" s="678"/>
      <c r="U170" s="678"/>
      <c r="V170" s="678"/>
      <c r="W170" s="359">
        <f t="shared" si="41"/>
        <v>0</v>
      </c>
      <c r="X170" s="359">
        <f t="shared" si="42"/>
        <v>0</v>
      </c>
      <c r="Y170" s="359">
        <f t="shared" si="43"/>
        <v>0</v>
      </c>
      <c r="Z170" s="679"/>
      <c r="AA170" s="484"/>
    </row>
    <row r="171" spans="1:27" x14ac:dyDescent="0.25">
      <c r="A171" s="484"/>
      <c r="C171" s="152" t="str">
        <f>Translations!$B$574</f>
        <v>Switzerland</v>
      </c>
      <c r="D171" s="152" t="str">
        <f>Translations!$B$388</f>
        <v>Luxembourg</v>
      </c>
      <c r="E171" s="678"/>
      <c r="F171" s="678"/>
      <c r="G171" s="678"/>
      <c r="H171" s="678"/>
      <c r="I171" s="678"/>
      <c r="J171" s="678"/>
      <c r="K171" s="678"/>
      <c r="L171" s="678"/>
      <c r="M171" s="678"/>
      <c r="N171" s="678"/>
      <c r="O171" s="678"/>
      <c r="P171" s="678"/>
      <c r="Q171" s="678"/>
      <c r="R171" s="678"/>
      <c r="S171" s="678"/>
      <c r="T171" s="678"/>
      <c r="U171" s="678"/>
      <c r="V171" s="678"/>
      <c r="W171" s="359">
        <f t="shared" si="41"/>
        <v>0</v>
      </c>
      <c r="X171" s="359">
        <f t="shared" si="42"/>
        <v>0</v>
      </c>
      <c r="Y171" s="359">
        <f t="shared" si="43"/>
        <v>0</v>
      </c>
      <c r="Z171" s="679"/>
      <c r="AA171" s="484"/>
    </row>
    <row r="172" spans="1:27" x14ac:dyDescent="0.25">
      <c r="A172" s="484"/>
      <c r="C172" s="152" t="str">
        <f>Translations!$B$574</f>
        <v>Switzerland</v>
      </c>
      <c r="D172" s="152" t="str">
        <f>Translations!$B$389</f>
        <v>Malta</v>
      </c>
      <c r="E172" s="678"/>
      <c r="F172" s="678"/>
      <c r="G172" s="678"/>
      <c r="H172" s="678"/>
      <c r="I172" s="678"/>
      <c r="J172" s="678"/>
      <c r="K172" s="678"/>
      <c r="L172" s="678"/>
      <c r="M172" s="678"/>
      <c r="N172" s="678"/>
      <c r="O172" s="678"/>
      <c r="P172" s="678"/>
      <c r="Q172" s="678"/>
      <c r="R172" s="678"/>
      <c r="S172" s="678"/>
      <c r="T172" s="678"/>
      <c r="U172" s="678"/>
      <c r="V172" s="678"/>
      <c r="W172" s="359">
        <f t="shared" si="41"/>
        <v>0</v>
      </c>
      <c r="X172" s="359">
        <f t="shared" si="42"/>
        <v>0</v>
      </c>
      <c r="Y172" s="359">
        <f t="shared" si="43"/>
        <v>0</v>
      </c>
      <c r="Z172" s="679"/>
      <c r="AA172" s="484"/>
    </row>
    <row r="173" spans="1:27" x14ac:dyDescent="0.25">
      <c r="A173" s="484"/>
      <c r="C173" s="152" t="str">
        <f>Translations!$B$574</f>
        <v>Switzerland</v>
      </c>
      <c r="D173" s="152" t="str">
        <f>Translations!$B$390</f>
        <v>Netherlands</v>
      </c>
      <c r="E173" s="678"/>
      <c r="F173" s="678"/>
      <c r="G173" s="678"/>
      <c r="H173" s="678"/>
      <c r="I173" s="678"/>
      <c r="J173" s="678"/>
      <c r="K173" s="678"/>
      <c r="L173" s="678"/>
      <c r="M173" s="678"/>
      <c r="N173" s="678"/>
      <c r="O173" s="678"/>
      <c r="P173" s="678"/>
      <c r="Q173" s="678"/>
      <c r="R173" s="678"/>
      <c r="S173" s="678"/>
      <c r="T173" s="678"/>
      <c r="U173" s="678"/>
      <c r="V173" s="678"/>
      <c r="W173" s="359">
        <f t="shared" si="41"/>
        <v>0</v>
      </c>
      <c r="X173" s="359">
        <f t="shared" si="42"/>
        <v>0</v>
      </c>
      <c r="Y173" s="359">
        <f t="shared" si="43"/>
        <v>0</v>
      </c>
      <c r="Z173" s="679"/>
      <c r="AA173" s="484"/>
    </row>
    <row r="174" spans="1:27" x14ac:dyDescent="0.25">
      <c r="A174" s="484"/>
      <c r="C174" s="152" t="str">
        <f>Translations!$B$574</f>
        <v>Switzerland</v>
      </c>
      <c r="D174" s="152" t="str">
        <f>Translations!$B$391</f>
        <v>Norway</v>
      </c>
      <c r="E174" s="678"/>
      <c r="F174" s="678"/>
      <c r="G174" s="678"/>
      <c r="H174" s="678"/>
      <c r="I174" s="678"/>
      <c r="J174" s="678"/>
      <c r="K174" s="678"/>
      <c r="L174" s="678"/>
      <c r="M174" s="678"/>
      <c r="N174" s="678"/>
      <c r="O174" s="678"/>
      <c r="P174" s="678"/>
      <c r="Q174" s="678"/>
      <c r="R174" s="678"/>
      <c r="S174" s="678"/>
      <c r="T174" s="678"/>
      <c r="U174" s="678"/>
      <c r="V174" s="678"/>
      <c r="W174" s="359">
        <f t="shared" si="41"/>
        <v>0</v>
      </c>
      <c r="X174" s="359">
        <f t="shared" si="42"/>
        <v>0</v>
      </c>
      <c r="Y174" s="359">
        <f t="shared" si="43"/>
        <v>0</v>
      </c>
      <c r="Z174" s="679"/>
      <c r="AA174" s="484"/>
    </row>
    <row r="175" spans="1:27" x14ac:dyDescent="0.25">
      <c r="A175" s="484"/>
      <c r="C175" s="152" t="str">
        <f>Translations!$B$574</f>
        <v>Switzerland</v>
      </c>
      <c r="D175" s="152" t="str">
        <f>Translations!$B$392</f>
        <v>Poland</v>
      </c>
      <c r="E175" s="678"/>
      <c r="F175" s="678"/>
      <c r="G175" s="678"/>
      <c r="H175" s="678"/>
      <c r="I175" s="678"/>
      <c r="J175" s="678"/>
      <c r="K175" s="678"/>
      <c r="L175" s="678"/>
      <c r="M175" s="678"/>
      <c r="N175" s="678"/>
      <c r="O175" s="678"/>
      <c r="P175" s="678"/>
      <c r="Q175" s="678"/>
      <c r="R175" s="678"/>
      <c r="S175" s="678"/>
      <c r="T175" s="678"/>
      <c r="U175" s="678"/>
      <c r="V175" s="678"/>
      <c r="W175" s="359">
        <f t="shared" si="41"/>
        <v>0</v>
      </c>
      <c r="X175" s="359">
        <f t="shared" si="42"/>
        <v>0</v>
      </c>
      <c r="Y175" s="359">
        <f t="shared" si="43"/>
        <v>0</v>
      </c>
      <c r="Z175" s="679"/>
      <c r="AA175" s="484"/>
    </row>
    <row r="176" spans="1:27" x14ac:dyDescent="0.25">
      <c r="A176" s="484"/>
      <c r="C176" s="152" t="str">
        <f>Translations!$B$574</f>
        <v>Switzerland</v>
      </c>
      <c r="D176" s="152" t="str">
        <f>Translations!$B$393</f>
        <v>Portugal</v>
      </c>
      <c r="E176" s="678"/>
      <c r="F176" s="678"/>
      <c r="G176" s="678"/>
      <c r="H176" s="678"/>
      <c r="I176" s="678"/>
      <c r="J176" s="678"/>
      <c r="K176" s="678"/>
      <c r="L176" s="678"/>
      <c r="M176" s="678"/>
      <c r="N176" s="678"/>
      <c r="O176" s="678"/>
      <c r="P176" s="678"/>
      <c r="Q176" s="678"/>
      <c r="R176" s="678"/>
      <c r="S176" s="678"/>
      <c r="T176" s="678"/>
      <c r="U176" s="678"/>
      <c r="V176" s="678"/>
      <c r="W176" s="359">
        <f t="shared" si="41"/>
        <v>0</v>
      </c>
      <c r="X176" s="359">
        <f t="shared" si="42"/>
        <v>0</v>
      </c>
      <c r="Y176" s="359">
        <f t="shared" si="43"/>
        <v>0</v>
      </c>
      <c r="Z176" s="679"/>
      <c r="AA176" s="484"/>
    </row>
    <row r="177" spans="1:29" x14ac:dyDescent="0.25">
      <c r="A177" s="484"/>
      <c r="C177" s="152" t="str">
        <f>Translations!$B$574</f>
        <v>Switzerland</v>
      </c>
      <c r="D177" s="152" t="str">
        <f>Translations!$B$394</f>
        <v>Romania</v>
      </c>
      <c r="E177" s="678"/>
      <c r="F177" s="678"/>
      <c r="G177" s="678"/>
      <c r="H177" s="678"/>
      <c r="I177" s="678"/>
      <c r="J177" s="678"/>
      <c r="K177" s="678"/>
      <c r="L177" s="678"/>
      <c r="M177" s="678"/>
      <c r="N177" s="678"/>
      <c r="O177" s="678"/>
      <c r="P177" s="678"/>
      <c r="Q177" s="678"/>
      <c r="R177" s="678"/>
      <c r="S177" s="678"/>
      <c r="T177" s="678"/>
      <c r="U177" s="678"/>
      <c r="V177" s="678"/>
      <c r="W177" s="359">
        <f t="shared" si="41"/>
        <v>0</v>
      </c>
      <c r="X177" s="359">
        <f t="shared" si="42"/>
        <v>0</v>
      </c>
      <c r="Y177" s="359">
        <f t="shared" si="43"/>
        <v>0</v>
      </c>
      <c r="Z177" s="679"/>
      <c r="AA177" s="484"/>
    </row>
    <row r="178" spans="1:29" x14ac:dyDescent="0.25">
      <c r="A178" s="484"/>
      <c r="C178" s="152" t="str">
        <f>Translations!$B$574</f>
        <v>Switzerland</v>
      </c>
      <c r="D178" s="152" t="str">
        <f>Translations!$B$395</f>
        <v>Slovakia</v>
      </c>
      <c r="E178" s="678"/>
      <c r="F178" s="678"/>
      <c r="G178" s="678"/>
      <c r="H178" s="678"/>
      <c r="I178" s="678"/>
      <c r="J178" s="678"/>
      <c r="K178" s="678"/>
      <c r="L178" s="678"/>
      <c r="M178" s="678"/>
      <c r="N178" s="678"/>
      <c r="O178" s="678"/>
      <c r="P178" s="678"/>
      <c r="Q178" s="678"/>
      <c r="R178" s="678"/>
      <c r="S178" s="678"/>
      <c r="T178" s="678"/>
      <c r="U178" s="678"/>
      <c r="V178" s="678"/>
      <c r="W178" s="359">
        <f t="shared" si="41"/>
        <v>0</v>
      </c>
      <c r="X178" s="359">
        <f t="shared" si="42"/>
        <v>0</v>
      </c>
      <c r="Y178" s="359">
        <f t="shared" si="43"/>
        <v>0</v>
      </c>
      <c r="Z178" s="679"/>
      <c r="AA178" s="484"/>
    </row>
    <row r="179" spans="1:29" x14ac:dyDescent="0.25">
      <c r="A179" s="484"/>
      <c r="C179" s="152" t="str">
        <f>Translations!$B$574</f>
        <v>Switzerland</v>
      </c>
      <c r="D179" s="152" t="str">
        <f>Translations!$B$396</f>
        <v>Slovenia</v>
      </c>
      <c r="E179" s="678"/>
      <c r="F179" s="678"/>
      <c r="G179" s="678"/>
      <c r="H179" s="678"/>
      <c r="I179" s="678"/>
      <c r="J179" s="678"/>
      <c r="K179" s="678"/>
      <c r="L179" s="678"/>
      <c r="M179" s="678"/>
      <c r="N179" s="678"/>
      <c r="O179" s="678"/>
      <c r="P179" s="678"/>
      <c r="Q179" s="678"/>
      <c r="R179" s="678"/>
      <c r="S179" s="678"/>
      <c r="T179" s="678"/>
      <c r="U179" s="678"/>
      <c r="V179" s="678"/>
      <c r="W179" s="359">
        <f t="shared" si="41"/>
        <v>0</v>
      </c>
      <c r="X179" s="359">
        <f t="shared" si="42"/>
        <v>0</v>
      </c>
      <c r="Y179" s="359">
        <f t="shared" si="43"/>
        <v>0</v>
      </c>
      <c r="Z179" s="679"/>
      <c r="AA179" s="484"/>
    </row>
    <row r="180" spans="1:29" x14ac:dyDescent="0.25">
      <c r="A180" s="484"/>
      <c r="C180" s="152" t="str">
        <f>Translations!$B$574</f>
        <v>Switzerland</v>
      </c>
      <c r="D180" s="152" t="str">
        <f>Translations!$B$397</f>
        <v>Spain</v>
      </c>
      <c r="E180" s="678"/>
      <c r="F180" s="678"/>
      <c r="G180" s="678"/>
      <c r="H180" s="678"/>
      <c r="I180" s="678"/>
      <c r="J180" s="678"/>
      <c r="K180" s="678"/>
      <c r="L180" s="678"/>
      <c r="M180" s="678"/>
      <c r="N180" s="678"/>
      <c r="O180" s="678"/>
      <c r="P180" s="678"/>
      <c r="Q180" s="678"/>
      <c r="R180" s="678"/>
      <c r="S180" s="678"/>
      <c r="T180" s="678"/>
      <c r="U180" s="678"/>
      <c r="V180" s="678"/>
      <c r="W180" s="359">
        <f t="shared" si="41"/>
        <v>0</v>
      </c>
      <c r="X180" s="359">
        <f t="shared" si="42"/>
        <v>0</v>
      </c>
      <c r="Y180" s="359">
        <f t="shared" si="43"/>
        <v>0</v>
      </c>
      <c r="Z180" s="679"/>
      <c r="AA180" s="484"/>
    </row>
    <row r="181" spans="1:29" x14ac:dyDescent="0.25">
      <c r="A181" s="484"/>
      <c r="C181" s="152" t="str">
        <f>Translations!$B$574</f>
        <v>Switzerland</v>
      </c>
      <c r="D181" s="152" t="str">
        <f>Translations!$B$398</f>
        <v>Sweden</v>
      </c>
      <c r="E181" s="678"/>
      <c r="F181" s="678"/>
      <c r="G181" s="678"/>
      <c r="H181" s="678"/>
      <c r="I181" s="678"/>
      <c r="J181" s="678"/>
      <c r="K181" s="678"/>
      <c r="L181" s="678"/>
      <c r="M181" s="678"/>
      <c r="N181" s="678"/>
      <c r="O181" s="678"/>
      <c r="P181" s="678"/>
      <c r="Q181" s="678"/>
      <c r="R181" s="678"/>
      <c r="S181" s="678"/>
      <c r="T181" s="678"/>
      <c r="U181" s="678"/>
      <c r="V181" s="678"/>
      <c r="W181" s="359">
        <f t="shared" si="41"/>
        <v>0</v>
      </c>
      <c r="X181" s="359">
        <f t="shared" si="42"/>
        <v>0</v>
      </c>
      <c r="Y181" s="359">
        <f t="shared" si="43"/>
        <v>0</v>
      </c>
      <c r="Z181" s="679"/>
      <c r="AA181" s="484"/>
    </row>
    <row r="182" spans="1:29" x14ac:dyDescent="0.25">
      <c r="A182" s="484"/>
      <c r="C182" s="152" t="str">
        <f>Translations!$B$574</f>
        <v>Switzerland</v>
      </c>
      <c r="D182" s="152" t="str">
        <f>Translations!$B$399</f>
        <v>United Kingdom</v>
      </c>
      <c r="E182" s="678"/>
      <c r="F182" s="678"/>
      <c r="G182" s="678"/>
      <c r="H182" s="678"/>
      <c r="I182" s="678"/>
      <c r="J182" s="678"/>
      <c r="K182" s="678"/>
      <c r="L182" s="678"/>
      <c r="M182" s="678"/>
      <c r="N182" s="678"/>
      <c r="O182" s="678"/>
      <c r="P182" s="678"/>
      <c r="Q182" s="678"/>
      <c r="R182" s="678"/>
      <c r="S182" s="678"/>
      <c r="T182" s="678"/>
      <c r="U182" s="678"/>
      <c r="V182" s="678"/>
      <c r="W182" s="359">
        <f t="shared" si="41"/>
        <v>0</v>
      </c>
      <c r="X182" s="359">
        <f t="shared" si="42"/>
        <v>0</v>
      </c>
      <c r="Y182" s="359">
        <f t="shared" si="43"/>
        <v>0</v>
      </c>
      <c r="Z182" s="679"/>
      <c r="AA182" s="484"/>
    </row>
    <row r="183" spans="1:29" ht="39.6" customHeight="1" thickBot="1" x14ac:dyDescent="0.3">
      <c r="A183" s="484"/>
      <c r="C183" s="1219" t="str">
        <f>Translations!$B$1356</f>
        <v>Aggregated CO2 emissions from all flights departing from Switzerland to an EEA Member State or to the UK:</v>
      </c>
      <c r="D183" s="1220"/>
      <c r="E183" s="171">
        <f>SUM(E152:E182)</f>
        <v>0</v>
      </c>
      <c r="F183" s="171">
        <f t="shared" ref="F183:Z183" si="44">SUM(F152:F182)</f>
        <v>0</v>
      </c>
      <c r="G183" s="171">
        <f t="shared" si="44"/>
        <v>0</v>
      </c>
      <c r="H183" s="171">
        <f t="shared" si="44"/>
        <v>0</v>
      </c>
      <c r="I183" s="171">
        <f t="shared" si="44"/>
        <v>0</v>
      </c>
      <c r="J183" s="171">
        <f t="shared" si="44"/>
        <v>0</v>
      </c>
      <c r="K183" s="171">
        <f t="shared" si="44"/>
        <v>0</v>
      </c>
      <c r="L183" s="171">
        <f t="shared" si="44"/>
        <v>0</v>
      </c>
      <c r="M183" s="171">
        <f t="shared" si="44"/>
        <v>0</v>
      </c>
      <c r="N183" s="171">
        <f t="shared" si="44"/>
        <v>0</v>
      </c>
      <c r="O183" s="171">
        <f t="shared" si="44"/>
        <v>0</v>
      </c>
      <c r="P183" s="171">
        <f t="shared" si="44"/>
        <v>0</v>
      </c>
      <c r="Q183" s="171">
        <f t="shared" si="44"/>
        <v>0</v>
      </c>
      <c r="R183" s="171">
        <f t="shared" si="44"/>
        <v>0</v>
      </c>
      <c r="S183" s="171">
        <f t="shared" si="44"/>
        <v>0</v>
      </c>
      <c r="T183" s="171">
        <f t="shared" si="44"/>
        <v>0</v>
      </c>
      <c r="U183" s="171">
        <f t="shared" si="44"/>
        <v>0</v>
      </c>
      <c r="V183" s="171">
        <f t="shared" si="44"/>
        <v>0</v>
      </c>
      <c r="W183" s="359">
        <f t="shared" si="44"/>
        <v>0</v>
      </c>
      <c r="X183" s="359">
        <f t="shared" si="44"/>
        <v>0</v>
      </c>
      <c r="Y183" s="359">
        <f t="shared" si="44"/>
        <v>0</v>
      </c>
      <c r="Z183" s="361">
        <f t="shared" si="44"/>
        <v>0</v>
      </c>
      <c r="AA183" s="484"/>
    </row>
    <row r="184" spans="1:29" x14ac:dyDescent="0.25">
      <c r="A184" s="484"/>
      <c r="B184" s="484"/>
      <c r="C184" s="490"/>
      <c r="D184" s="490"/>
      <c r="E184" s="490"/>
      <c r="F184" s="490"/>
      <c r="G184" s="490"/>
      <c r="H184" s="490"/>
      <c r="I184" s="490"/>
      <c r="J184" s="490"/>
      <c r="K184" s="490"/>
      <c r="L184" s="490"/>
      <c r="M184" s="490"/>
      <c r="N184" s="490"/>
      <c r="O184" s="490"/>
      <c r="P184" s="490"/>
      <c r="Q184" s="490"/>
      <c r="R184" s="490"/>
      <c r="S184" s="490"/>
      <c r="T184" s="490"/>
      <c r="U184" s="490"/>
      <c r="V184" s="490"/>
      <c r="W184" s="484"/>
      <c r="X184" s="484"/>
      <c r="Y184" s="484"/>
      <c r="Z184" s="484"/>
      <c r="AA184" s="484"/>
    </row>
    <row r="185" spans="1:29" x14ac:dyDescent="0.25">
      <c r="C185" s="128"/>
      <c r="D185" s="128"/>
      <c r="E185" s="128"/>
      <c r="F185" s="128"/>
      <c r="G185" s="128"/>
      <c r="H185" s="128"/>
      <c r="I185" s="128"/>
      <c r="J185" s="128"/>
      <c r="K185" s="128"/>
      <c r="L185" s="128"/>
      <c r="M185" s="128"/>
      <c r="N185" s="128"/>
      <c r="O185" s="128"/>
      <c r="P185" s="128"/>
      <c r="Q185" s="128"/>
      <c r="R185" s="128"/>
      <c r="S185" s="128"/>
      <c r="T185" s="128"/>
      <c r="U185" s="128"/>
      <c r="V185" s="128"/>
    </row>
    <row r="186" spans="1:29" x14ac:dyDescent="0.25">
      <c r="C186" s="1124" t="s">
        <v>218</v>
      </c>
      <c r="D186" s="1124"/>
      <c r="E186" s="1124"/>
      <c r="F186" s="1124"/>
      <c r="G186" s="1124"/>
      <c r="H186" s="128"/>
      <c r="I186" s="128"/>
      <c r="J186" s="128"/>
      <c r="K186" s="128"/>
      <c r="L186" s="128"/>
      <c r="M186" s="128"/>
      <c r="N186" s="128"/>
      <c r="O186" s="128"/>
      <c r="P186" s="128"/>
      <c r="Q186" s="128"/>
      <c r="R186" s="128"/>
      <c r="S186" s="128"/>
      <c r="T186" s="128"/>
      <c r="U186" s="128"/>
      <c r="V186" s="128"/>
    </row>
    <row r="189" spans="1:29" s="124" customFormat="1" hidden="1" x14ac:dyDescent="0.25">
      <c r="B189" s="661" t="s">
        <v>219</v>
      </c>
      <c r="AC189" s="124" t="s">
        <v>220</v>
      </c>
    </row>
    <row r="190" spans="1:29" s="124" customFormat="1" ht="25.5" hidden="1" customHeight="1" x14ac:dyDescent="0.3">
      <c r="C190" s="814" t="s">
        <v>221</v>
      </c>
      <c r="D190" s="815"/>
      <c r="E190" s="815">
        <v>1</v>
      </c>
      <c r="F190" s="815">
        <v>2</v>
      </c>
      <c r="G190" s="815">
        <v>3</v>
      </c>
      <c r="H190" s="815">
        <v>4</v>
      </c>
      <c r="I190" s="815">
        <v>5</v>
      </c>
      <c r="J190" s="815">
        <v>6</v>
      </c>
      <c r="K190" s="815">
        <v>7</v>
      </c>
      <c r="L190" s="815">
        <v>8</v>
      </c>
      <c r="M190" s="815">
        <v>9</v>
      </c>
      <c r="N190" s="815">
        <v>10</v>
      </c>
      <c r="O190" s="815">
        <v>11</v>
      </c>
      <c r="P190" s="815">
        <v>12</v>
      </c>
      <c r="Q190" s="815">
        <v>13</v>
      </c>
      <c r="R190" s="815">
        <v>14</v>
      </c>
      <c r="S190" s="815">
        <v>15</v>
      </c>
      <c r="T190" s="815">
        <v>16</v>
      </c>
      <c r="U190" s="815">
        <v>17</v>
      </c>
      <c r="V190" s="816">
        <v>18</v>
      </c>
      <c r="W190" s="599"/>
      <c r="X190" s="599"/>
      <c r="Y190" s="599"/>
      <c r="Z190" s="599"/>
      <c r="AA190" s="599"/>
      <c r="AC190" s="124" t="s">
        <v>220</v>
      </c>
    </row>
    <row r="191" spans="1:29" s="124" customFormat="1" ht="25.5" hidden="1" customHeight="1" x14ac:dyDescent="0.3">
      <c r="C191" s="657" t="s">
        <v>222</v>
      </c>
      <c r="D191" s="658"/>
      <c r="E191" s="660"/>
      <c r="F191" s="660"/>
      <c r="G191" s="660"/>
      <c r="H191" s="658" t="b">
        <f t="shared" ref="H191:V191" si="45">INDEX(CNTR_FuelListCompleteData,H$190-3)</f>
        <v>1</v>
      </c>
      <c r="I191" s="658" t="b">
        <f t="shared" si="45"/>
        <v>1</v>
      </c>
      <c r="J191" s="658" t="b">
        <f t="shared" si="45"/>
        <v>1</v>
      </c>
      <c r="K191" s="658" t="b">
        <f t="shared" si="45"/>
        <v>0</v>
      </c>
      <c r="L191" s="658" t="b">
        <f t="shared" si="45"/>
        <v>0</v>
      </c>
      <c r="M191" s="658" t="b">
        <f t="shared" si="45"/>
        <v>0</v>
      </c>
      <c r="N191" s="658" t="b">
        <f t="shared" si="45"/>
        <v>0</v>
      </c>
      <c r="O191" s="658" t="b">
        <f t="shared" si="45"/>
        <v>0</v>
      </c>
      <c r="P191" s="658" t="b">
        <f t="shared" si="45"/>
        <v>0</v>
      </c>
      <c r="Q191" s="658" t="b">
        <f t="shared" si="45"/>
        <v>0</v>
      </c>
      <c r="R191" s="658" t="b">
        <f t="shared" si="45"/>
        <v>0</v>
      </c>
      <c r="S191" s="658" t="b">
        <f t="shared" si="45"/>
        <v>0</v>
      </c>
      <c r="T191" s="658" t="b">
        <f t="shared" si="45"/>
        <v>0</v>
      </c>
      <c r="U191" s="658" t="b">
        <f t="shared" si="45"/>
        <v>0</v>
      </c>
      <c r="V191" s="659" t="b">
        <f t="shared" si="45"/>
        <v>0</v>
      </c>
      <c r="W191" s="599"/>
      <c r="X191" s="599"/>
      <c r="Y191" s="599"/>
      <c r="Z191" s="599"/>
      <c r="AA191" s="599"/>
      <c r="AC191" s="124" t="s">
        <v>220</v>
      </c>
    </row>
    <row r="192" spans="1:29" s="124" customFormat="1" ht="25.5" hidden="1" customHeight="1" x14ac:dyDescent="0.3">
      <c r="C192" s="857" t="s">
        <v>49</v>
      </c>
      <c r="D192" s="658"/>
      <c r="E192" s="660"/>
      <c r="F192" s="660"/>
      <c r="G192" s="660"/>
      <c r="H192" s="658" t="b">
        <f t="shared" ref="H192:V192" si="46">AND(SUM($W$27:$Y$27,INDICATOR_ETS_TotalEmissions,$W$135:$Y$135,INDICATOR_CHETS_TotalEmissions)&gt;0,H$191&lt;&gt;TRUE)</f>
        <v>0</v>
      </c>
      <c r="I192" s="658" t="b">
        <f t="shared" si="46"/>
        <v>0</v>
      </c>
      <c r="J192" s="658" t="b">
        <f t="shared" si="46"/>
        <v>0</v>
      </c>
      <c r="K192" s="658" t="b">
        <f t="shared" si="46"/>
        <v>1</v>
      </c>
      <c r="L192" s="658" t="b">
        <f t="shared" si="46"/>
        <v>1</v>
      </c>
      <c r="M192" s="658" t="b">
        <f t="shared" si="46"/>
        <v>1</v>
      </c>
      <c r="N192" s="658" t="b">
        <f t="shared" si="46"/>
        <v>1</v>
      </c>
      <c r="O192" s="658" t="b">
        <f t="shared" si="46"/>
        <v>1</v>
      </c>
      <c r="P192" s="658" t="b">
        <f t="shared" si="46"/>
        <v>1</v>
      </c>
      <c r="Q192" s="658" t="b">
        <f t="shared" si="46"/>
        <v>1</v>
      </c>
      <c r="R192" s="658" t="b">
        <f t="shared" si="46"/>
        <v>1</v>
      </c>
      <c r="S192" s="658" t="b">
        <f t="shared" si="46"/>
        <v>1</v>
      </c>
      <c r="T192" s="658" t="b">
        <f t="shared" si="46"/>
        <v>1</v>
      </c>
      <c r="U192" s="658" t="b">
        <f t="shared" si="46"/>
        <v>1</v>
      </c>
      <c r="V192" s="659" t="b">
        <f t="shared" si="46"/>
        <v>1</v>
      </c>
      <c r="W192" s="599"/>
      <c r="X192" s="599"/>
      <c r="Y192" s="599"/>
      <c r="Z192" s="599"/>
      <c r="AA192" s="599"/>
      <c r="AC192" s="124" t="s">
        <v>220</v>
      </c>
    </row>
    <row r="193" spans="3:29" s="124" customFormat="1" ht="25.5" hidden="1" customHeight="1" x14ac:dyDescent="0.3">
      <c r="C193" s="657" t="s">
        <v>223</v>
      </c>
      <c r="D193" s="658"/>
      <c r="E193" s="660"/>
      <c r="F193" s="660"/>
      <c r="G193" s="660"/>
      <c r="H193" s="658" t="str">
        <f t="shared" ref="H193:V193" si="47">IF(INDEX(CNTR_FuelListNames,H$190-3)="", Text_Fuel &amp; " " &amp;H190, INDEX(CNTR_FuelListNames,H$190-3))</f>
        <v>4. HEFA</v>
      </c>
      <c r="I193" s="658" t="str">
        <f t="shared" si="47"/>
        <v>5. RFNBO EDDF</v>
      </c>
      <c r="J193" s="658" t="str">
        <f t="shared" si="47"/>
        <v>6. ATJ</v>
      </c>
      <c r="K193" s="658" t="str">
        <f t="shared" si="47"/>
        <v>Fuel 7</v>
      </c>
      <c r="L193" s="658" t="str">
        <f t="shared" si="47"/>
        <v>Fuel 8</v>
      </c>
      <c r="M193" s="658" t="str">
        <f t="shared" si="47"/>
        <v>Fuel 9</v>
      </c>
      <c r="N193" s="658" t="str">
        <f t="shared" si="47"/>
        <v>Fuel 10</v>
      </c>
      <c r="O193" s="658" t="str">
        <f t="shared" si="47"/>
        <v>Fuel 11</v>
      </c>
      <c r="P193" s="658" t="str">
        <f t="shared" si="47"/>
        <v>Fuel 12</v>
      </c>
      <c r="Q193" s="658" t="str">
        <f t="shared" si="47"/>
        <v>Fuel 13</v>
      </c>
      <c r="R193" s="658" t="str">
        <f t="shared" si="47"/>
        <v>Fuel 14</v>
      </c>
      <c r="S193" s="658" t="str">
        <f t="shared" si="47"/>
        <v>Fuel 15</v>
      </c>
      <c r="T193" s="658" t="str">
        <f t="shared" si="47"/>
        <v>Fuel 16</v>
      </c>
      <c r="U193" s="658" t="str">
        <f t="shared" si="47"/>
        <v>Fuel 17</v>
      </c>
      <c r="V193" s="659" t="str">
        <f t="shared" si="47"/>
        <v>Fuel 18</v>
      </c>
      <c r="W193" s="599"/>
      <c r="X193" s="599"/>
      <c r="Y193" s="599"/>
      <c r="Z193" s="599"/>
      <c r="AA193" s="599"/>
      <c r="AC193" s="124" t="s">
        <v>220</v>
      </c>
    </row>
    <row r="194" spans="3:29" s="654" customFormat="1" ht="25.5" hidden="1" customHeight="1" x14ac:dyDescent="0.3">
      <c r="C194" s="657" t="s">
        <v>224</v>
      </c>
      <c r="D194" s="658"/>
      <c r="E194" s="660" t="b">
        <v>0</v>
      </c>
      <c r="F194" s="660" t="b">
        <v>0</v>
      </c>
      <c r="G194" s="660" t="b">
        <v>0</v>
      </c>
      <c r="H194" s="658" t="b">
        <f t="shared" ref="H194:V194" si="48">INDEX(CNTR_FuelListIsZero,H$190-3)=TRUE</f>
        <v>1</v>
      </c>
      <c r="I194" s="658" t="b">
        <f t="shared" si="48"/>
        <v>1</v>
      </c>
      <c r="J194" s="658" t="b">
        <f t="shared" si="48"/>
        <v>0</v>
      </c>
      <c r="K194" s="658" t="b">
        <f t="shared" si="48"/>
        <v>0</v>
      </c>
      <c r="L194" s="658" t="b">
        <f t="shared" si="48"/>
        <v>0</v>
      </c>
      <c r="M194" s="658" t="b">
        <f t="shared" si="48"/>
        <v>0</v>
      </c>
      <c r="N194" s="658" t="b">
        <f t="shared" si="48"/>
        <v>0</v>
      </c>
      <c r="O194" s="658" t="b">
        <f t="shared" si="48"/>
        <v>0</v>
      </c>
      <c r="P194" s="658" t="b">
        <f t="shared" si="48"/>
        <v>0</v>
      </c>
      <c r="Q194" s="658" t="b">
        <f t="shared" si="48"/>
        <v>0</v>
      </c>
      <c r="R194" s="658" t="b">
        <f t="shared" si="48"/>
        <v>0</v>
      </c>
      <c r="S194" s="658" t="b">
        <f t="shared" si="48"/>
        <v>0</v>
      </c>
      <c r="T194" s="658" t="b">
        <f t="shared" si="48"/>
        <v>0</v>
      </c>
      <c r="U194" s="658" t="b">
        <f t="shared" si="48"/>
        <v>0</v>
      </c>
      <c r="V194" s="659" t="b">
        <f t="shared" si="48"/>
        <v>0</v>
      </c>
      <c r="W194" s="655"/>
      <c r="X194" s="655"/>
      <c r="Y194" s="655"/>
      <c r="Z194" s="655"/>
      <c r="AA194" s="655"/>
      <c r="AC194" s="124" t="s">
        <v>220</v>
      </c>
    </row>
    <row r="195" spans="3:29" s="124" customFormat="1" ht="25.5" hidden="1" customHeight="1" x14ac:dyDescent="0.3">
      <c r="C195" s="657" t="s">
        <v>225</v>
      </c>
      <c r="D195" s="658"/>
      <c r="E195" s="658">
        <f>IF(ISNUMBER(INDEX('Emissions overview'!$L$83:$L$100,E$190)),INDEX('Emissions overview'!$L$83:$L$100,E$190),"")</f>
        <v>3.16</v>
      </c>
      <c r="F195" s="658">
        <f>IF(ISNUMBER(INDEX('Emissions overview'!$L$83:$L$100,F$190)),INDEX('Emissions overview'!$L$83:$L$100,F$190),"")</f>
        <v>3.1</v>
      </c>
      <c r="G195" s="658">
        <f>IF(ISNUMBER(INDEX('Emissions overview'!$L$83:$L$100,G$190)),INDEX('Emissions overview'!$L$83:$L$100,G$190),"")</f>
        <v>3.1</v>
      </c>
      <c r="H195" s="658">
        <f>IF(ISNUMBER(INDEX('Emissions overview'!$L$83:$L$100,H$190)),INDEX('Emissions overview'!$L$83:$L$100,H$190),"")</f>
        <v>3.16</v>
      </c>
      <c r="I195" s="658">
        <f>IF(ISNUMBER(INDEX('Emissions overview'!$L$83:$L$100,I$190)),INDEX('Emissions overview'!$L$83:$L$100,I$190),"")</f>
        <v>3.16</v>
      </c>
      <c r="J195" s="658">
        <f>IF(ISNUMBER(INDEX('Emissions overview'!$L$83:$L$100,J$190)),INDEX('Emissions overview'!$L$83:$L$100,J$190),"")</f>
        <v>3.16</v>
      </c>
      <c r="K195" s="658" t="str">
        <f>IF(ISNUMBER(INDEX('Emissions overview'!$L$83:$L$100,K$190)),INDEX('Emissions overview'!$L$83:$L$100,K$190),"")</f>
        <v/>
      </c>
      <c r="L195" s="658" t="str">
        <f>IF(ISNUMBER(INDEX('Emissions overview'!$L$83:$L$100,L$190)),INDEX('Emissions overview'!$L$83:$L$100,L$190),"")</f>
        <v/>
      </c>
      <c r="M195" s="658" t="str">
        <f>IF(ISNUMBER(INDEX('Emissions overview'!$L$83:$L$100,M$190)),INDEX('Emissions overview'!$L$83:$L$100,M$190),"")</f>
        <v/>
      </c>
      <c r="N195" s="658" t="str">
        <f>IF(ISNUMBER(INDEX('Emissions overview'!$L$83:$L$100,N$190)),INDEX('Emissions overview'!$L$83:$L$100,N$190),"")</f>
        <v/>
      </c>
      <c r="O195" s="658" t="str">
        <f>IF(ISNUMBER(INDEX('Emissions overview'!$L$83:$L$100,O$190)),INDEX('Emissions overview'!$L$83:$L$100,O$190),"")</f>
        <v/>
      </c>
      <c r="P195" s="658" t="str">
        <f>IF(ISNUMBER(INDEX('Emissions overview'!$L$83:$L$100,P$190)),INDEX('Emissions overview'!$L$83:$L$100,P$190),"")</f>
        <v/>
      </c>
      <c r="Q195" s="658" t="str">
        <f>IF(ISNUMBER(INDEX('Emissions overview'!$L$83:$L$100,Q$190)),INDEX('Emissions overview'!$L$83:$L$100,Q$190),"")</f>
        <v/>
      </c>
      <c r="R195" s="658" t="str">
        <f>IF(ISNUMBER(INDEX('Emissions overview'!$L$83:$L$100,R$190)),INDEX('Emissions overview'!$L$83:$L$100,R$190),"")</f>
        <v/>
      </c>
      <c r="S195" s="658" t="str">
        <f>IF(ISNUMBER(INDEX('Emissions overview'!$L$83:$L$100,S$190)),INDEX('Emissions overview'!$L$83:$L$100,S$190),"")</f>
        <v/>
      </c>
      <c r="T195" s="658" t="str">
        <f>IF(ISNUMBER(INDEX('Emissions overview'!$L$83:$L$100,T$190)),INDEX('Emissions overview'!$L$83:$L$100,T$190),"")</f>
        <v/>
      </c>
      <c r="U195" s="658" t="str">
        <f>IF(ISNUMBER(INDEX('Emissions overview'!$L$83:$L$100,U$190)),INDEX('Emissions overview'!$L$83:$L$100,U$190),"")</f>
        <v/>
      </c>
      <c r="V195" s="659" t="str">
        <f>IF(ISNUMBER(INDEX('Emissions overview'!$L$83:$L$100,V$190)),INDEX('Emissions overview'!$L$83:$L$100,V$190),"")</f>
        <v/>
      </c>
      <c r="W195" s="599"/>
      <c r="X195" s="599"/>
      <c r="Y195" s="599"/>
      <c r="Z195" s="599"/>
      <c r="AA195" s="599"/>
      <c r="AC195" s="124" t="s">
        <v>220</v>
      </c>
    </row>
    <row r="196" spans="3:29" s="124" customFormat="1" ht="25.5" hidden="1" customHeight="1" x14ac:dyDescent="0.3">
      <c r="C196" s="817" t="s">
        <v>226</v>
      </c>
      <c r="D196" s="818"/>
      <c r="E196" s="818">
        <f t="shared" ref="E196:G196" si="49">IF(E194=TRUE,0,E195)</f>
        <v>3.16</v>
      </c>
      <c r="F196" s="818">
        <f t="shared" si="49"/>
        <v>3.1</v>
      </c>
      <c r="G196" s="818">
        <f t="shared" si="49"/>
        <v>3.1</v>
      </c>
      <c r="H196" s="818">
        <f>IF(H194=TRUE,0,H195)</f>
        <v>0</v>
      </c>
      <c r="I196" s="818">
        <f t="shared" ref="I196:V196" si="50">IF(I194=TRUE,0,I195)</f>
        <v>0</v>
      </c>
      <c r="J196" s="818">
        <f t="shared" si="50"/>
        <v>3.16</v>
      </c>
      <c r="K196" s="818" t="str">
        <f t="shared" si="50"/>
        <v/>
      </c>
      <c r="L196" s="818" t="str">
        <f t="shared" si="50"/>
        <v/>
      </c>
      <c r="M196" s="818" t="str">
        <f t="shared" si="50"/>
        <v/>
      </c>
      <c r="N196" s="818" t="str">
        <f t="shared" si="50"/>
        <v/>
      </c>
      <c r="O196" s="818" t="str">
        <f t="shared" si="50"/>
        <v/>
      </c>
      <c r="P196" s="818" t="str">
        <f t="shared" si="50"/>
        <v/>
      </c>
      <c r="Q196" s="818" t="str">
        <f t="shared" si="50"/>
        <v/>
      </c>
      <c r="R196" s="818" t="str">
        <f t="shared" si="50"/>
        <v/>
      </c>
      <c r="S196" s="818" t="str">
        <f t="shared" si="50"/>
        <v/>
      </c>
      <c r="T196" s="818" t="str">
        <f t="shared" si="50"/>
        <v/>
      </c>
      <c r="U196" s="818" t="str">
        <f t="shared" si="50"/>
        <v/>
      </c>
      <c r="V196" s="819" t="str">
        <f t="shared" si="50"/>
        <v/>
      </c>
      <c r="W196" s="599"/>
      <c r="X196" s="599"/>
      <c r="Y196" s="599"/>
      <c r="Z196" s="599"/>
      <c r="AA196" s="599"/>
      <c r="AC196" s="124" t="s">
        <v>220</v>
      </c>
    </row>
    <row r="197" spans="3:29" s="124" customFormat="1" hidden="1" x14ac:dyDescent="0.25">
      <c r="AC197" s="124" t="s">
        <v>220</v>
      </c>
    </row>
  </sheetData>
  <sheetProtection sheet="1" objects="1" scenarios="1" formatCells="0" formatColumns="0" formatRows="0" insertColumns="0" insertRows="0"/>
  <mergeCells count="66">
    <mergeCell ref="Z25:Z26"/>
    <mergeCell ref="C22:Z22"/>
    <mergeCell ref="Y63:Y64"/>
    <mergeCell ref="Z63:Z64"/>
    <mergeCell ref="C23:Z23"/>
    <mergeCell ref="C62:Z62"/>
    <mergeCell ref="C61:Z61"/>
    <mergeCell ref="Y25:Y26"/>
    <mergeCell ref="W63:W64"/>
    <mergeCell ref="X25:X26"/>
    <mergeCell ref="X63:X64"/>
    <mergeCell ref="W25:W26"/>
    <mergeCell ref="C186:G186"/>
    <mergeCell ref="E11:V11"/>
    <mergeCell ref="C15:D15"/>
    <mergeCell ref="C16:D16"/>
    <mergeCell ref="C17:D17"/>
    <mergeCell ref="C13:D13"/>
    <mergeCell ref="E63:V63"/>
    <mergeCell ref="C93:Y93"/>
    <mergeCell ref="E25:V25"/>
    <mergeCell ref="C26:D26"/>
    <mergeCell ref="C14:D14"/>
    <mergeCell ref="Y95:Y96"/>
    <mergeCell ref="E144:V144"/>
    <mergeCell ref="C94:Z94"/>
    <mergeCell ref="W95:W96"/>
    <mergeCell ref="X95:X96"/>
    <mergeCell ref="C6:Z6"/>
    <mergeCell ref="C7:Z7"/>
    <mergeCell ref="C8:Z8"/>
    <mergeCell ref="Y11:Y12"/>
    <mergeCell ref="Z11:Z12"/>
    <mergeCell ref="W11:W12"/>
    <mergeCell ref="X11:X12"/>
    <mergeCell ref="C9:Z9"/>
    <mergeCell ref="E150:V150"/>
    <mergeCell ref="Y150:Y151"/>
    <mergeCell ref="Z150:Z151"/>
    <mergeCell ref="C183:D183"/>
    <mergeCell ref="C143:Z143"/>
    <mergeCell ref="Y144:Y145"/>
    <mergeCell ref="Z144:Z145"/>
    <mergeCell ref="C145:D145"/>
    <mergeCell ref="C148:Y148"/>
    <mergeCell ref="C149:Z149"/>
    <mergeCell ref="W144:W145"/>
    <mergeCell ref="W150:W151"/>
    <mergeCell ref="X144:X145"/>
    <mergeCell ref="X150:X151"/>
    <mergeCell ref="C136:D136"/>
    <mergeCell ref="C137:D137"/>
    <mergeCell ref="C128:Z128"/>
    <mergeCell ref="C129:Z129"/>
    <mergeCell ref="C130:Z130"/>
    <mergeCell ref="E133:V133"/>
    <mergeCell ref="Y133:Y134"/>
    <mergeCell ref="Z133:Z134"/>
    <mergeCell ref="W133:W134"/>
    <mergeCell ref="X133:X134"/>
    <mergeCell ref="C123:D123"/>
    <mergeCell ref="C91:D91"/>
    <mergeCell ref="E95:V95"/>
    <mergeCell ref="Z95:Z96"/>
    <mergeCell ref="C135:D135"/>
    <mergeCell ref="C131:Z131"/>
  </mergeCells>
  <conditionalFormatting sqref="H12:V17 H26:V58 H64:V91 H96:V123 H134:V137 H145:V146 H151:V183">
    <cfRule type="expression" dxfId="48" priority="1">
      <formula>H$192=TRUE</formula>
    </cfRule>
  </conditionalFormatting>
  <dataValidations count="3">
    <dataValidation type="list" allowBlank="1" showInputMessage="1" showErrorMessage="1" sqref="C97:C121" xr:uid="{00000000-0002-0000-0400-000000000000}">
      <formula1>worldcountries</formula1>
    </dataValidation>
    <dataValidation type="list" allowBlank="1" showInputMessage="1" showErrorMessage="1" sqref="C65:C89 D97:D121" xr:uid="{00000000-0002-0000-0400-000001000000}">
      <formula1>memberstates</formula1>
    </dataValidation>
    <dataValidation type="list" allowBlank="1" showInputMessage="1" showErrorMessage="1" sqref="D65:D89" xr:uid="{00000000-0002-0000-0400-000002000000}">
      <formula1>MemberStatesWithSwiss</formula1>
    </dataValidation>
  </dataValidations>
  <hyperlinks>
    <hyperlink ref="C186:G186" location="'Aircraft Data'!A1" display="&lt;&lt;&lt; Click here to proceed to section 10 &quot;Aircraft data&quot; &gt;&gt;&gt;" xr:uid="{00000000-0004-0000-0400-000000000000}"/>
  </hyperlinks>
  <pageMargins left="0.78740157480314965" right="0.78740157480314965" top="0.78740157480314965" bottom="0.78740157480314965" header="0.39370078740157483" footer="0.39370078740157483"/>
  <pageSetup paperSize="9" scale="70" fitToHeight="10" orientation="portrait" r:id="rId1"/>
  <headerFooter alignWithMargins="0">
    <oddFooter>&amp;L&amp;F&amp;C&amp;A&amp;R&amp;P / &amp;N</oddFooter>
  </headerFooter>
  <rowBreaks count="1" manualBreakCount="1">
    <brk id="6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mc:AlternateContent xmlns:mc="http://schemas.openxmlformats.org/markup-compatibility/2006">
          <mc:Choice Requires="x14">
            <control shapeId="36866" r:id="rId5" name="Button 2">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2:M67"/>
  <sheetViews>
    <sheetView showGridLines="0" zoomScale="115" zoomScaleNormal="115" workbookViewId="0"/>
  </sheetViews>
  <sheetFormatPr defaultColWidth="10.5546875" defaultRowHeight="13.2" x14ac:dyDescent="0.25"/>
  <cols>
    <col min="1" max="1" width="3.109375" style="389" customWidth="1"/>
    <col min="2" max="2" width="3.44140625" style="125" bestFit="1" customWidth="1"/>
    <col min="3" max="6" width="20.5546875" style="68" customWidth="1"/>
    <col min="7" max="8" width="10.6640625" style="68" customWidth="1"/>
    <col min="9" max="11" width="8.6640625" style="68" customWidth="1"/>
    <col min="12" max="12" width="3.109375" style="68" customWidth="1"/>
    <col min="13" max="13" width="10.5546875" style="68" customWidth="1"/>
    <col min="14" max="16384" width="10.5546875" style="68"/>
  </cols>
  <sheetData>
    <row r="2" spans="1:13" ht="15.6" x14ac:dyDescent="0.25">
      <c r="B2" s="383">
        <v>9</v>
      </c>
      <c r="C2" s="1242" t="str">
        <f>Translations!$B$848</f>
        <v>Aircraft data</v>
      </c>
      <c r="D2" s="1242"/>
      <c r="E2" s="1242"/>
      <c r="F2" s="1242"/>
      <c r="G2" s="1242"/>
      <c r="H2" s="1242"/>
      <c r="I2" s="365"/>
      <c r="J2" s="365"/>
      <c r="K2" s="365"/>
      <c r="M2" s="914" t="s">
        <v>1965</v>
      </c>
    </row>
    <row r="3" spans="1:13" x14ac:dyDescent="0.25">
      <c r="M3" s="914" t="s">
        <v>1966</v>
      </c>
    </row>
    <row r="4" spans="1:13" ht="12.75" customHeight="1" x14ac:dyDescent="0.25">
      <c r="B4" s="384" t="s">
        <v>33</v>
      </c>
      <c r="C4" s="1104" t="str">
        <f>Translations!$B$1145</f>
        <v>Provide details for each aircraft used during the year covered by this report for which you are the aircraft operator.</v>
      </c>
      <c r="D4" s="1104"/>
      <c r="E4" s="1104"/>
      <c r="F4" s="1104"/>
      <c r="G4" s="1104"/>
      <c r="H4" s="1104"/>
      <c r="I4" s="960"/>
      <c r="J4" s="960"/>
      <c r="K4" s="960"/>
      <c r="M4" s="914"/>
    </row>
    <row r="5" spans="1:13" ht="39.75" customHeight="1" x14ac:dyDescent="0.25">
      <c r="C5" s="1046" t="str">
        <f>Translations!$B$1289</f>
        <v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v>
      </c>
      <c r="D5" s="1066"/>
      <c r="E5" s="1066"/>
      <c r="F5" s="1066"/>
      <c r="G5" s="1066"/>
      <c r="H5" s="1066"/>
      <c r="I5" s="960"/>
      <c r="J5" s="960"/>
      <c r="K5" s="960"/>
      <c r="M5" s="914"/>
    </row>
    <row r="6" spans="1:13" ht="26.4" customHeight="1" thickBot="1" x14ac:dyDescent="0.3">
      <c r="C6" s="1247" t="s">
        <v>227</v>
      </c>
      <c r="D6" s="1247"/>
      <c r="E6" s="1247"/>
      <c r="F6" s="1247"/>
      <c r="G6" s="1247"/>
      <c r="H6" s="1247"/>
      <c r="I6" s="1248"/>
      <c r="J6" s="1248"/>
      <c r="K6" s="1248"/>
      <c r="M6" s="914" t="s">
        <v>228</v>
      </c>
    </row>
    <row r="7" spans="1:13" s="60" customFormat="1" ht="39.6" customHeight="1" x14ac:dyDescent="0.25">
      <c r="A7" s="390"/>
      <c r="B7" s="385"/>
      <c r="C7" s="1245" t="str">
        <f>Translations!$B$1005</f>
        <v>Aircraft type (ICAO aircraft type designator)</v>
      </c>
      <c r="D7" s="1245" t="str">
        <f>Translations!$B$1006</f>
        <v>Aircraft subtype (as specified in the monitoring plan, if applicable)</v>
      </c>
      <c r="E7" s="1245" t="str">
        <f>Translations!$B$1007</f>
        <v>Aircraft registration number</v>
      </c>
      <c r="F7" s="1245" t="str">
        <f>Translations!$B$1008</f>
        <v>Owner of the aircraft (if known)
 In the case of leased-in aircraft, the lessor</v>
      </c>
      <c r="G7" s="1243" t="str">
        <f>Translations!$B$1009</f>
        <v>If the aircraft has not belonged to your fleet for the whole reporting year:</v>
      </c>
      <c r="H7" s="1244"/>
      <c r="I7" s="1249" t="str">
        <f>Translations!$B$1149</f>
        <v>used for EU ETS</v>
      </c>
      <c r="J7" s="1253" t="str">
        <f>Translations!$B$1290</f>
        <v>used for CH ETS</v>
      </c>
      <c r="K7" s="1251" t="str">
        <f>Translations!$B$1150</f>
        <v>used for CORSIA (if applicable)</v>
      </c>
      <c r="M7" s="950"/>
    </row>
    <row r="8" spans="1:13" s="60" customFormat="1" ht="13.2" customHeight="1" x14ac:dyDescent="0.25">
      <c r="A8" s="390"/>
      <c r="B8" s="385"/>
      <c r="C8" s="1246"/>
      <c r="D8" s="1246"/>
      <c r="E8" s="1246"/>
      <c r="F8" s="1246"/>
      <c r="G8" s="52" t="str">
        <f>Translations!$B$1010</f>
        <v>Starting date</v>
      </c>
      <c r="H8" s="52" t="str">
        <f>Translations!$B$1011</f>
        <v>End date</v>
      </c>
      <c r="I8" s="1250"/>
      <c r="J8" s="1254"/>
      <c r="K8" s="1252"/>
      <c r="M8" s="914" t="s">
        <v>229</v>
      </c>
    </row>
    <row r="9" spans="1:13" x14ac:dyDescent="0.25">
      <c r="B9" s="386"/>
      <c r="C9" s="89"/>
      <c r="D9" s="89"/>
      <c r="E9" s="89"/>
      <c r="F9" s="89"/>
      <c r="G9" s="88"/>
      <c r="H9" s="88"/>
      <c r="I9" s="683"/>
      <c r="J9" s="88"/>
      <c r="K9" s="684"/>
      <c r="M9" s="914"/>
    </row>
    <row r="10" spans="1:13" x14ac:dyDescent="0.25">
      <c r="B10" s="386"/>
      <c r="C10" s="89"/>
      <c r="D10" s="89"/>
      <c r="E10" s="89"/>
      <c r="F10" s="89"/>
      <c r="G10" s="88"/>
      <c r="H10" s="88"/>
      <c r="I10" s="683"/>
      <c r="J10" s="88"/>
      <c r="K10" s="684"/>
      <c r="M10" s="914"/>
    </row>
    <row r="11" spans="1:13" x14ac:dyDescent="0.25">
      <c r="B11" s="386"/>
      <c r="C11" s="89"/>
      <c r="D11" s="89"/>
      <c r="E11" s="89"/>
      <c r="F11" s="89"/>
      <c r="G11" s="88"/>
      <c r="H11" s="88"/>
      <c r="I11" s="683"/>
      <c r="J11" s="88"/>
      <c r="K11" s="684"/>
      <c r="M11" s="914"/>
    </row>
    <row r="12" spans="1:13" x14ac:dyDescent="0.25">
      <c r="B12" s="386"/>
      <c r="C12" s="89"/>
      <c r="D12" s="89"/>
      <c r="E12" s="89"/>
      <c r="F12" s="89"/>
      <c r="G12" s="88"/>
      <c r="H12" s="88"/>
      <c r="I12" s="683"/>
      <c r="J12" s="88"/>
      <c r="K12" s="684"/>
      <c r="M12" s="914"/>
    </row>
    <row r="13" spans="1:13" x14ac:dyDescent="0.25">
      <c r="B13" s="386"/>
      <c r="C13" s="89"/>
      <c r="D13" s="89"/>
      <c r="E13" s="89"/>
      <c r="F13" s="89"/>
      <c r="G13" s="88"/>
      <c r="H13" s="88"/>
      <c r="I13" s="683"/>
      <c r="J13" s="88"/>
      <c r="K13" s="684"/>
      <c r="M13" s="914"/>
    </row>
    <row r="14" spans="1:13" x14ac:dyDescent="0.25">
      <c r="B14" s="386"/>
      <c r="C14" s="89"/>
      <c r="D14" s="89"/>
      <c r="E14" s="89"/>
      <c r="F14" s="89"/>
      <c r="G14" s="88"/>
      <c r="H14" s="88"/>
      <c r="I14" s="683"/>
      <c r="J14" s="88"/>
      <c r="K14" s="684"/>
      <c r="M14" s="914"/>
    </row>
    <row r="15" spans="1:13" x14ac:dyDescent="0.25">
      <c r="B15" s="386"/>
      <c r="C15" s="89"/>
      <c r="D15" s="89"/>
      <c r="E15" s="89"/>
      <c r="F15" s="89"/>
      <c r="G15" s="88"/>
      <c r="H15" s="88"/>
      <c r="I15" s="683"/>
      <c r="J15" s="88"/>
      <c r="K15" s="684"/>
      <c r="M15" s="914"/>
    </row>
    <row r="16" spans="1:13" x14ac:dyDescent="0.25">
      <c r="B16" s="386"/>
      <c r="C16" s="89"/>
      <c r="D16" s="89"/>
      <c r="E16" s="89"/>
      <c r="F16" s="89"/>
      <c r="G16" s="88"/>
      <c r="H16" s="88"/>
      <c r="I16" s="683"/>
      <c r="J16" s="88"/>
      <c r="K16" s="684"/>
      <c r="M16" s="914"/>
    </row>
    <row r="17" spans="2:13" x14ac:dyDescent="0.25">
      <c r="B17" s="386"/>
      <c r="C17" s="89"/>
      <c r="D17" s="89"/>
      <c r="E17" s="89"/>
      <c r="F17" s="89"/>
      <c r="G17" s="88"/>
      <c r="H17" s="88"/>
      <c r="I17" s="683"/>
      <c r="J17" s="88"/>
      <c r="K17" s="684"/>
      <c r="M17" s="914"/>
    </row>
    <row r="18" spans="2:13" x14ac:dyDescent="0.25">
      <c r="B18" s="386"/>
      <c r="C18" s="89"/>
      <c r="D18" s="89"/>
      <c r="E18" s="89"/>
      <c r="F18" s="89"/>
      <c r="G18" s="88"/>
      <c r="H18" s="88"/>
      <c r="I18" s="683"/>
      <c r="J18" s="88"/>
      <c r="K18" s="684"/>
      <c r="M18" s="914"/>
    </row>
    <row r="19" spans="2:13" x14ac:dyDescent="0.25">
      <c r="B19" s="386"/>
      <c r="C19" s="89"/>
      <c r="D19" s="89"/>
      <c r="E19" s="89"/>
      <c r="F19" s="89"/>
      <c r="G19" s="88"/>
      <c r="H19" s="88"/>
      <c r="I19" s="683"/>
      <c r="J19" s="88"/>
      <c r="K19" s="684"/>
      <c r="M19" s="914"/>
    </row>
    <row r="20" spans="2:13" x14ac:dyDescent="0.25">
      <c r="B20" s="386"/>
      <c r="C20" s="89"/>
      <c r="D20" s="89"/>
      <c r="E20" s="89"/>
      <c r="F20" s="89"/>
      <c r="G20" s="88"/>
      <c r="H20" s="88"/>
      <c r="I20" s="683"/>
      <c r="J20" s="88"/>
      <c r="K20" s="684"/>
      <c r="M20" s="914"/>
    </row>
    <row r="21" spans="2:13" x14ac:dyDescent="0.25">
      <c r="B21" s="386"/>
      <c r="C21" s="89"/>
      <c r="D21" s="89"/>
      <c r="E21" s="89"/>
      <c r="F21" s="89"/>
      <c r="G21" s="88"/>
      <c r="H21" s="88"/>
      <c r="I21" s="683"/>
      <c r="J21" s="88"/>
      <c r="K21" s="684"/>
      <c r="M21" s="914"/>
    </row>
    <row r="22" spans="2:13" x14ac:dyDescent="0.25">
      <c r="B22" s="386"/>
      <c r="C22" s="89"/>
      <c r="D22" s="89"/>
      <c r="E22" s="89"/>
      <c r="F22" s="89"/>
      <c r="G22" s="88"/>
      <c r="H22" s="88"/>
      <c r="I22" s="683"/>
      <c r="J22" s="88"/>
      <c r="K22" s="684"/>
      <c r="M22" s="914"/>
    </row>
    <row r="23" spans="2:13" x14ac:dyDescent="0.25">
      <c r="B23" s="386"/>
      <c r="C23" s="89"/>
      <c r="D23" s="89"/>
      <c r="E23" s="89"/>
      <c r="F23" s="89"/>
      <c r="G23" s="88"/>
      <c r="H23" s="88"/>
      <c r="I23" s="683"/>
      <c r="J23" s="88"/>
      <c r="K23" s="684"/>
      <c r="M23" s="914"/>
    </row>
    <row r="24" spans="2:13" x14ac:dyDescent="0.25">
      <c r="B24" s="386"/>
      <c r="C24" s="89"/>
      <c r="D24" s="89"/>
      <c r="E24" s="89"/>
      <c r="F24" s="89"/>
      <c r="G24" s="88"/>
      <c r="H24" s="88"/>
      <c r="I24" s="683"/>
      <c r="J24" s="88"/>
      <c r="K24" s="684"/>
      <c r="M24" s="914"/>
    </row>
    <row r="25" spans="2:13" x14ac:dyDescent="0.25">
      <c r="B25" s="386"/>
      <c r="C25" s="89"/>
      <c r="D25" s="89"/>
      <c r="E25" s="89"/>
      <c r="F25" s="89"/>
      <c r="G25" s="88"/>
      <c r="H25" s="88"/>
      <c r="I25" s="683"/>
      <c r="J25" s="88"/>
      <c r="K25" s="684"/>
      <c r="M25" s="914"/>
    </row>
    <row r="26" spans="2:13" x14ac:dyDescent="0.25">
      <c r="B26" s="386"/>
      <c r="C26" s="89"/>
      <c r="D26" s="89"/>
      <c r="E26" s="89"/>
      <c r="F26" s="89"/>
      <c r="G26" s="88"/>
      <c r="H26" s="88"/>
      <c r="I26" s="683"/>
      <c r="J26" s="88"/>
      <c r="K26" s="684"/>
      <c r="M26" s="914"/>
    </row>
    <row r="27" spans="2:13" x14ac:dyDescent="0.25">
      <c r="B27" s="386"/>
      <c r="C27" s="89"/>
      <c r="D27" s="89"/>
      <c r="E27" s="89"/>
      <c r="F27" s="89"/>
      <c r="G27" s="88"/>
      <c r="H27" s="88"/>
      <c r="I27" s="683"/>
      <c r="J27" s="88"/>
      <c r="K27" s="684"/>
      <c r="M27" s="914"/>
    </row>
    <row r="28" spans="2:13" x14ac:dyDescent="0.25">
      <c r="B28" s="386"/>
      <c r="C28" s="89"/>
      <c r="D28" s="89"/>
      <c r="E28" s="89"/>
      <c r="F28" s="89"/>
      <c r="G28" s="88"/>
      <c r="H28" s="88"/>
      <c r="I28" s="683"/>
      <c r="J28" s="88"/>
      <c r="K28" s="684"/>
      <c r="M28" s="914"/>
    </row>
    <row r="29" spans="2:13" x14ac:dyDescent="0.25">
      <c r="B29" s="386"/>
      <c r="C29" s="89"/>
      <c r="D29" s="89"/>
      <c r="E29" s="89"/>
      <c r="F29" s="89"/>
      <c r="G29" s="88"/>
      <c r="H29" s="88"/>
      <c r="I29" s="683"/>
      <c r="J29" s="88"/>
      <c r="K29" s="684"/>
      <c r="M29" s="914"/>
    </row>
    <row r="30" spans="2:13" x14ac:dyDescent="0.25">
      <c r="B30" s="386"/>
      <c r="C30" s="89"/>
      <c r="D30" s="89"/>
      <c r="E30" s="89"/>
      <c r="F30" s="89"/>
      <c r="G30" s="88"/>
      <c r="H30" s="88"/>
      <c r="I30" s="683"/>
      <c r="J30" s="88"/>
      <c r="K30" s="684"/>
      <c r="M30" s="914"/>
    </row>
    <row r="31" spans="2:13" x14ac:dyDescent="0.25">
      <c r="B31" s="386"/>
      <c r="C31" s="89"/>
      <c r="D31" s="89"/>
      <c r="E31" s="89"/>
      <c r="F31" s="89"/>
      <c r="G31" s="88"/>
      <c r="H31" s="88"/>
      <c r="I31" s="683"/>
      <c r="J31" s="88"/>
      <c r="K31" s="684"/>
      <c r="M31" s="914"/>
    </row>
    <row r="32" spans="2:13" x14ac:dyDescent="0.25">
      <c r="B32" s="386"/>
      <c r="C32" s="89"/>
      <c r="D32" s="89"/>
      <c r="E32" s="89"/>
      <c r="F32" s="89"/>
      <c r="G32" s="88"/>
      <c r="H32" s="88"/>
      <c r="I32" s="683"/>
      <c r="J32" s="88"/>
      <c r="K32" s="684"/>
      <c r="M32" s="914"/>
    </row>
    <row r="33" spans="2:13" x14ac:dyDescent="0.25">
      <c r="B33" s="386"/>
      <c r="C33" s="89"/>
      <c r="D33" s="89"/>
      <c r="E33" s="89"/>
      <c r="F33" s="89"/>
      <c r="G33" s="88"/>
      <c r="H33" s="88"/>
      <c r="I33" s="683"/>
      <c r="J33" s="88"/>
      <c r="K33" s="684"/>
      <c r="M33" s="914"/>
    </row>
    <row r="34" spans="2:13" x14ac:dyDescent="0.25">
      <c r="B34" s="386"/>
      <c r="C34" s="89"/>
      <c r="D34" s="89"/>
      <c r="E34" s="89"/>
      <c r="F34" s="89"/>
      <c r="G34" s="88"/>
      <c r="H34" s="88"/>
      <c r="I34" s="683"/>
      <c r="J34" s="88"/>
      <c r="K34" s="684"/>
      <c r="M34" s="914"/>
    </row>
    <row r="35" spans="2:13" x14ac:dyDescent="0.25">
      <c r="B35" s="386"/>
      <c r="C35" s="89"/>
      <c r="D35" s="89"/>
      <c r="E35" s="89"/>
      <c r="F35" s="89"/>
      <c r="G35" s="88"/>
      <c r="H35" s="88"/>
      <c r="I35" s="683"/>
      <c r="J35" s="88"/>
      <c r="K35" s="684"/>
      <c r="M35" s="914"/>
    </row>
    <row r="36" spans="2:13" x14ac:dyDescent="0.25">
      <c r="B36" s="386"/>
      <c r="C36" s="89"/>
      <c r="D36" s="89"/>
      <c r="E36" s="89"/>
      <c r="F36" s="89"/>
      <c r="G36" s="88"/>
      <c r="H36" s="88"/>
      <c r="I36" s="683"/>
      <c r="J36" s="88"/>
      <c r="K36" s="684"/>
      <c r="M36" s="914"/>
    </row>
    <row r="37" spans="2:13" x14ac:dyDescent="0.25">
      <c r="B37" s="386"/>
      <c r="C37" s="89"/>
      <c r="D37" s="89"/>
      <c r="E37" s="89"/>
      <c r="F37" s="89"/>
      <c r="G37" s="88"/>
      <c r="H37" s="88"/>
      <c r="I37" s="683"/>
      <c r="J37" s="88"/>
      <c r="K37" s="684"/>
      <c r="M37" s="914"/>
    </row>
    <row r="38" spans="2:13" x14ac:dyDescent="0.25">
      <c r="B38" s="386"/>
      <c r="C38" s="89"/>
      <c r="D38" s="89"/>
      <c r="E38" s="89"/>
      <c r="F38" s="89"/>
      <c r="G38" s="88"/>
      <c r="H38" s="88"/>
      <c r="I38" s="683"/>
      <c r="J38" s="88"/>
      <c r="K38" s="684"/>
      <c r="M38" s="914"/>
    </row>
    <row r="39" spans="2:13" x14ac:dyDescent="0.25">
      <c r="B39" s="386"/>
      <c r="C39" s="89"/>
      <c r="D39" s="89"/>
      <c r="E39" s="89"/>
      <c r="F39" s="89"/>
      <c r="G39" s="88"/>
      <c r="H39" s="88"/>
      <c r="I39" s="683"/>
      <c r="J39" s="88"/>
      <c r="K39" s="684"/>
      <c r="M39" s="914"/>
    </row>
    <row r="40" spans="2:13" x14ac:dyDescent="0.25">
      <c r="B40" s="386"/>
      <c r="C40" s="89"/>
      <c r="D40" s="89"/>
      <c r="E40" s="89"/>
      <c r="F40" s="89"/>
      <c r="G40" s="88"/>
      <c r="H40" s="88"/>
      <c r="I40" s="683"/>
      <c r="J40" s="88"/>
      <c r="K40" s="684"/>
      <c r="M40" s="914"/>
    </row>
    <row r="41" spans="2:13" x14ac:dyDescent="0.25">
      <c r="B41" s="386"/>
      <c r="C41" s="89"/>
      <c r="D41" s="89"/>
      <c r="E41" s="89"/>
      <c r="F41" s="89"/>
      <c r="G41" s="88"/>
      <c r="H41" s="88"/>
      <c r="I41" s="683"/>
      <c r="J41" s="88"/>
      <c r="K41" s="684"/>
      <c r="M41" s="914"/>
    </row>
    <row r="42" spans="2:13" x14ac:dyDescent="0.25">
      <c r="B42" s="386"/>
      <c r="C42" s="89"/>
      <c r="D42" s="89"/>
      <c r="E42" s="89"/>
      <c r="F42" s="89"/>
      <c r="G42" s="88"/>
      <c r="H42" s="88"/>
      <c r="I42" s="683"/>
      <c r="J42" s="88"/>
      <c r="K42" s="684"/>
      <c r="M42" s="914"/>
    </row>
    <row r="43" spans="2:13" x14ac:dyDescent="0.25">
      <c r="B43" s="386"/>
      <c r="C43" s="89"/>
      <c r="D43" s="89"/>
      <c r="E43" s="89"/>
      <c r="F43" s="89"/>
      <c r="G43" s="88"/>
      <c r="H43" s="88"/>
      <c r="I43" s="683"/>
      <c r="J43" s="88"/>
      <c r="K43" s="684"/>
      <c r="M43" s="914"/>
    </row>
    <row r="44" spans="2:13" x14ac:dyDescent="0.25">
      <c r="B44" s="386"/>
      <c r="C44" s="89"/>
      <c r="D44" s="89"/>
      <c r="E44" s="89"/>
      <c r="F44" s="89"/>
      <c r="G44" s="88"/>
      <c r="H44" s="88"/>
      <c r="I44" s="683"/>
      <c r="J44" s="88"/>
      <c r="K44" s="684"/>
      <c r="M44" s="914"/>
    </row>
    <row r="45" spans="2:13" x14ac:dyDescent="0.25">
      <c r="B45" s="386"/>
      <c r="C45" s="89"/>
      <c r="D45" s="89"/>
      <c r="E45" s="89"/>
      <c r="F45" s="89"/>
      <c r="G45" s="88"/>
      <c r="H45" s="88"/>
      <c r="I45" s="683"/>
      <c r="J45" s="88"/>
      <c r="K45" s="684"/>
      <c r="M45" s="914"/>
    </row>
    <row r="46" spans="2:13" x14ac:dyDescent="0.25">
      <c r="B46" s="386"/>
      <c r="C46" s="89"/>
      <c r="D46" s="89"/>
      <c r="E46" s="89"/>
      <c r="F46" s="89"/>
      <c r="G46" s="88"/>
      <c r="H46" s="88"/>
      <c r="I46" s="683"/>
      <c r="J46" s="88"/>
      <c r="K46" s="684"/>
      <c r="M46" s="914"/>
    </row>
    <row r="47" spans="2:13" x14ac:dyDescent="0.25">
      <c r="B47" s="386"/>
      <c r="C47" s="89"/>
      <c r="D47" s="89"/>
      <c r="E47" s="89"/>
      <c r="F47" s="89"/>
      <c r="G47" s="88"/>
      <c r="H47" s="88"/>
      <c r="I47" s="683"/>
      <c r="J47" s="88"/>
      <c r="K47" s="684"/>
      <c r="M47" s="914"/>
    </row>
    <row r="48" spans="2:13" x14ac:dyDescent="0.25">
      <c r="B48" s="386"/>
      <c r="C48" s="89"/>
      <c r="D48" s="89"/>
      <c r="E48" s="89"/>
      <c r="F48" s="89"/>
      <c r="G48" s="88"/>
      <c r="H48" s="88"/>
      <c r="I48" s="683"/>
      <c r="J48" s="88"/>
      <c r="K48" s="684"/>
      <c r="M48" s="914"/>
    </row>
    <row r="49" spans="2:13" x14ac:dyDescent="0.25">
      <c r="B49" s="386"/>
      <c r="C49" s="89"/>
      <c r="D49" s="89"/>
      <c r="E49" s="89"/>
      <c r="F49" s="89"/>
      <c r="G49" s="88"/>
      <c r="H49" s="88"/>
      <c r="I49" s="683"/>
      <c r="J49" s="88"/>
      <c r="K49" s="684"/>
      <c r="M49" s="914"/>
    </row>
    <row r="50" spans="2:13" x14ac:dyDescent="0.25">
      <c r="B50" s="386"/>
      <c r="C50" s="89"/>
      <c r="D50" s="89"/>
      <c r="E50" s="89"/>
      <c r="F50" s="89"/>
      <c r="G50" s="88"/>
      <c r="H50" s="88"/>
      <c r="I50" s="683"/>
      <c r="J50" s="88"/>
      <c r="K50" s="684"/>
      <c r="M50" s="914"/>
    </row>
    <row r="51" spans="2:13" x14ac:dyDescent="0.25">
      <c r="B51" s="386"/>
      <c r="C51" s="89"/>
      <c r="D51" s="89"/>
      <c r="E51" s="89"/>
      <c r="F51" s="89"/>
      <c r="G51" s="88"/>
      <c r="H51" s="88"/>
      <c r="I51" s="683"/>
      <c r="J51" s="88"/>
      <c r="K51" s="684"/>
      <c r="M51" s="914"/>
    </row>
    <row r="52" spans="2:13" x14ac:dyDescent="0.25">
      <c r="B52" s="386"/>
      <c r="C52" s="89"/>
      <c r="D52" s="89"/>
      <c r="E52" s="89"/>
      <c r="F52" s="89"/>
      <c r="G52" s="88"/>
      <c r="H52" s="88"/>
      <c r="I52" s="683"/>
      <c r="J52" s="88"/>
      <c r="K52" s="684"/>
      <c r="M52" s="914"/>
    </row>
    <row r="53" spans="2:13" x14ac:dyDescent="0.25">
      <c r="B53" s="386"/>
      <c r="C53" s="89"/>
      <c r="D53" s="89"/>
      <c r="E53" s="89"/>
      <c r="F53" s="89"/>
      <c r="G53" s="88"/>
      <c r="H53" s="88"/>
      <c r="I53" s="683"/>
      <c r="J53" s="88"/>
      <c r="K53" s="684"/>
      <c r="M53" s="914"/>
    </row>
    <row r="54" spans="2:13" x14ac:dyDescent="0.25">
      <c r="B54" s="386"/>
      <c r="C54" s="89"/>
      <c r="D54" s="89"/>
      <c r="E54" s="89"/>
      <c r="F54" s="89"/>
      <c r="G54" s="88"/>
      <c r="H54" s="88"/>
      <c r="I54" s="683"/>
      <c r="J54" s="88"/>
      <c r="K54" s="684"/>
      <c r="M54" s="914"/>
    </row>
    <row r="55" spans="2:13" x14ac:dyDescent="0.25">
      <c r="B55" s="386"/>
      <c r="C55" s="89"/>
      <c r="D55" s="89"/>
      <c r="E55" s="89"/>
      <c r="F55" s="89"/>
      <c r="G55" s="88"/>
      <c r="H55" s="88"/>
      <c r="I55" s="683"/>
      <c r="J55" s="88"/>
      <c r="K55" s="684"/>
      <c r="M55" s="914"/>
    </row>
    <row r="56" spans="2:13" x14ac:dyDescent="0.25">
      <c r="B56" s="386"/>
      <c r="C56" s="89"/>
      <c r="D56" s="89"/>
      <c r="E56" s="89"/>
      <c r="F56" s="89"/>
      <c r="G56" s="88"/>
      <c r="H56" s="88"/>
      <c r="I56" s="683"/>
      <c r="J56" s="88"/>
      <c r="K56" s="684"/>
      <c r="M56" s="914"/>
    </row>
    <row r="57" spans="2:13" x14ac:dyDescent="0.25">
      <c r="B57" s="386"/>
      <c r="C57" s="89"/>
      <c r="D57" s="89"/>
      <c r="E57" s="89"/>
      <c r="F57" s="89"/>
      <c r="G57" s="88"/>
      <c r="H57" s="88"/>
      <c r="I57" s="683"/>
      <c r="J57" s="88"/>
      <c r="K57" s="684"/>
      <c r="M57" s="914"/>
    </row>
    <row r="58" spans="2:13" x14ac:dyDescent="0.25">
      <c r="B58" s="386"/>
      <c r="C58" s="89"/>
      <c r="D58" s="89"/>
      <c r="E58" s="89"/>
      <c r="F58" s="89"/>
      <c r="G58" s="88"/>
      <c r="H58" s="88"/>
      <c r="I58" s="683"/>
      <c r="J58" s="88"/>
      <c r="K58" s="684"/>
      <c r="M58" s="914"/>
    </row>
    <row r="59" spans="2:13" x14ac:dyDescent="0.25">
      <c r="B59" s="386"/>
      <c r="C59" s="89"/>
      <c r="D59" s="89"/>
      <c r="E59" s="89"/>
      <c r="F59" s="89"/>
      <c r="G59" s="88"/>
      <c r="H59" s="88"/>
      <c r="I59" s="683"/>
      <c r="J59" s="88"/>
      <c r="K59" s="684"/>
      <c r="M59" s="914"/>
    </row>
    <row r="60" spans="2:13" x14ac:dyDescent="0.25">
      <c r="B60" s="386"/>
      <c r="C60" s="89"/>
      <c r="D60" s="89"/>
      <c r="E60" s="89"/>
      <c r="F60" s="89"/>
      <c r="G60" s="88"/>
      <c r="H60" s="88"/>
      <c r="I60" s="683"/>
      <c r="J60" s="88"/>
      <c r="K60" s="684"/>
      <c r="M60" s="914"/>
    </row>
    <row r="61" spans="2:13" x14ac:dyDescent="0.25">
      <c r="B61" s="386"/>
      <c r="C61" s="89"/>
      <c r="D61" s="89"/>
      <c r="E61" s="89"/>
      <c r="F61" s="89"/>
      <c r="G61" s="88"/>
      <c r="H61" s="88"/>
      <c r="I61" s="683"/>
      <c r="J61" s="88"/>
      <c r="K61" s="684"/>
      <c r="M61" s="914"/>
    </row>
    <row r="62" spans="2:13" x14ac:dyDescent="0.25">
      <c r="B62" s="386"/>
      <c r="C62" s="89"/>
      <c r="D62" s="89"/>
      <c r="E62" s="89"/>
      <c r="F62" s="89"/>
      <c r="G62" s="88"/>
      <c r="H62" s="88"/>
      <c r="I62" s="683"/>
      <c r="J62" s="88"/>
      <c r="K62" s="684"/>
      <c r="M62" s="914"/>
    </row>
    <row r="63" spans="2:13" ht="13.8" thickBot="1" x14ac:dyDescent="0.3">
      <c r="B63" s="386"/>
      <c r="C63" s="387" t="s">
        <v>82</v>
      </c>
      <c r="D63" s="387" t="s">
        <v>82</v>
      </c>
      <c r="E63" s="387" t="s">
        <v>82</v>
      </c>
      <c r="F63" s="387" t="s">
        <v>82</v>
      </c>
      <c r="G63" s="388" t="s">
        <v>82</v>
      </c>
      <c r="H63" s="388" t="s">
        <v>82</v>
      </c>
      <c r="I63" s="685" t="s">
        <v>82</v>
      </c>
      <c r="J63" s="686" t="s">
        <v>82</v>
      </c>
      <c r="K63" s="687" t="s">
        <v>82</v>
      </c>
      <c r="M63" s="914"/>
    </row>
    <row r="64" spans="2:13" x14ac:dyDescent="0.25">
      <c r="M64" s="914"/>
    </row>
    <row r="65" spans="3:13" ht="26.4" customHeight="1" x14ac:dyDescent="0.25">
      <c r="C65" s="1255" t="str">
        <f>Translations!$B$1156</f>
        <v>Please continue by adding further rows as needed (above the "end" markers). This must be done by copying an empty row and inserting it thereafter. A simple "insert row" command will NOT be sufficent.</v>
      </c>
      <c r="D65" s="960"/>
      <c r="E65" s="960"/>
      <c r="F65" s="960"/>
      <c r="G65" s="960"/>
      <c r="H65" s="960"/>
      <c r="I65" s="960"/>
      <c r="J65" s="960"/>
      <c r="K65" s="960"/>
      <c r="M65" s="914" t="s">
        <v>1967</v>
      </c>
    </row>
    <row r="67" spans="3:13" x14ac:dyDescent="0.25">
      <c r="C67" s="1124" t="s">
        <v>230</v>
      </c>
      <c r="D67" s="1124"/>
      <c r="E67" s="1124"/>
      <c r="F67" s="1124"/>
      <c r="G67" s="1124"/>
    </row>
  </sheetData>
  <sheetProtection sheet="1" objects="1" scenarios="1" formatCells="0" formatColumns="0" formatRows="0" insertColumns="0" insertRows="0"/>
  <mergeCells count="14">
    <mergeCell ref="C67:G67"/>
    <mergeCell ref="C2:H2"/>
    <mergeCell ref="G7:H7"/>
    <mergeCell ref="C7:C8"/>
    <mergeCell ref="D7:D8"/>
    <mergeCell ref="E7:E8"/>
    <mergeCell ref="F7:F8"/>
    <mergeCell ref="C4:K4"/>
    <mergeCell ref="C5:K5"/>
    <mergeCell ref="C6:K6"/>
    <mergeCell ref="I7:I8"/>
    <mergeCell ref="K7:K8"/>
    <mergeCell ref="J7:J8"/>
    <mergeCell ref="C65:K65"/>
  </mergeCells>
  <conditionalFormatting sqref="I9:J63">
    <cfRule type="expression" dxfId="47" priority="3">
      <formula>CONTR_onlyCORSIA=TRUE</formula>
    </cfRule>
  </conditionalFormatting>
  <conditionalFormatting sqref="K9:K63">
    <cfRule type="expression" dxfId="46" priority="2">
      <formula>CONTR_CORSIAapplied=FALSE</formula>
    </cfRule>
  </conditionalFormatting>
  <dataValidations count="1">
    <dataValidation type="list" allowBlank="1" showInputMessage="1" showErrorMessage="1" sqref="I9:K62" xr:uid="{00000000-0002-0000-0500-000000000000}">
      <formula1>TrueFalse</formula1>
    </dataValidation>
  </dataValidations>
  <hyperlinks>
    <hyperlink ref="C67:G67" location="'MS specific content'!A1" display="&lt;&lt;&lt; Click here to proceed to section 11 &quot;Member State specific Content&quot; &gt;&gt;&gt;" xr:uid="{00000000-0004-0000-0500-000000000000}"/>
  </hyperlinks>
  <pageMargins left="0.78740157480314965" right="0.78740157480314965" top="0.78740157480314965" bottom="0.78740157480314965" header="0.39370078740157483" footer="0.39370078740157483"/>
  <pageSetup paperSize="9" scale="70" fitToHeight="3" orientation="landscape" r:id="rId1"/>
  <headerFooter alignWithMargins="0">
    <oddFooter>&amp;L&amp;F&amp;C&amp;A&amp;R&amp;P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utton 1">
              <controlPr defaultSize="0" print="0" autoFill="0" autoPict="0">
                <anchor moveWithCells="1" sizeWithCells="1">
                  <from>
                    <xdr:col>8</xdr:col>
                    <xdr:colOff>0</xdr:colOff>
                    <xdr:row>0</xdr:row>
                    <xdr:rowOff>0</xdr:rowOff>
                  </from>
                  <to>
                    <xdr:col>8</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J35"/>
  <sheetViews>
    <sheetView showGridLines="0" zoomScale="115" zoomScaleNormal="115" zoomScaleSheetLayoutView="140" workbookViewId="0"/>
  </sheetViews>
  <sheetFormatPr defaultColWidth="11.44140625" defaultRowHeight="13.2" x14ac:dyDescent="0.25"/>
  <cols>
    <col min="1" max="1" width="3.109375" style="56" customWidth="1"/>
    <col min="2" max="2" width="4.109375" style="56" customWidth="1"/>
    <col min="3" max="3" width="11.44140625" style="56" customWidth="1"/>
    <col min="4" max="4" width="10.88671875" style="56" customWidth="1"/>
    <col min="5" max="6" width="13.5546875" style="56" customWidth="1"/>
    <col min="7" max="7" width="10.44140625" style="56" customWidth="1"/>
    <col min="8" max="8" width="11.109375" style="56" customWidth="1"/>
    <col min="9" max="10" width="13.5546875" style="56" customWidth="1"/>
    <col min="11" max="16384" width="11.44140625" style="56"/>
  </cols>
  <sheetData>
    <row r="1" spans="1:10" x14ac:dyDescent="0.25">
      <c r="B1" s="106"/>
      <c r="E1" s="115"/>
      <c r="F1" s="115"/>
    </row>
    <row r="2" spans="1:10" ht="17.399999999999999" x14ac:dyDescent="0.25">
      <c r="B2" s="1068" t="str">
        <f>Translations!$B$20</f>
        <v>Member State specific further information</v>
      </c>
      <c r="C2" s="1068"/>
      <c r="D2" s="1068"/>
      <c r="E2" s="1068"/>
      <c r="F2" s="1068"/>
      <c r="G2" s="1068"/>
      <c r="H2" s="1068"/>
      <c r="I2" s="1068"/>
      <c r="J2" s="1068"/>
    </row>
    <row r="3" spans="1:10" x14ac:dyDescent="0.25">
      <c r="B3" s="106"/>
      <c r="E3" s="115"/>
      <c r="F3" s="115"/>
    </row>
    <row r="4" spans="1:10" ht="15.6" x14ac:dyDescent="0.3">
      <c r="B4" s="85">
        <v>10</v>
      </c>
      <c r="C4" s="58" t="str">
        <f>Translations!$B$366</f>
        <v>Comments</v>
      </c>
      <c r="D4" s="58"/>
      <c r="E4" s="58"/>
      <c r="F4" s="58"/>
      <c r="G4" s="58"/>
      <c r="H4" s="58"/>
      <c r="I4" s="58"/>
      <c r="J4" s="58"/>
    </row>
    <row r="6" spans="1:10" x14ac:dyDescent="0.25">
      <c r="B6" s="78" t="str">
        <f>Translations!$B$367</f>
        <v>Space for further Comments:</v>
      </c>
    </row>
    <row r="7" spans="1:10" x14ac:dyDescent="0.25">
      <c r="B7" s="98"/>
      <c r="C7" s="97"/>
      <c r="D7" s="97"/>
      <c r="E7" s="97"/>
      <c r="F7" s="97"/>
      <c r="G7" s="97"/>
      <c r="H7" s="97"/>
      <c r="I7" s="97"/>
      <c r="J7" s="96"/>
    </row>
    <row r="8" spans="1:10" ht="15.6" x14ac:dyDescent="0.3">
      <c r="A8" s="76"/>
      <c r="B8" s="95"/>
      <c r="C8" s="94"/>
      <c r="D8" s="94"/>
      <c r="E8" s="94"/>
      <c r="F8" s="94"/>
      <c r="G8" s="94"/>
      <c r="H8" s="94"/>
      <c r="I8" s="94"/>
      <c r="J8" s="93"/>
    </row>
    <row r="9" spans="1:10" x14ac:dyDescent="0.25">
      <c r="B9" s="95"/>
      <c r="C9" s="94"/>
      <c r="D9" s="94"/>
      <c r="E9" s="94"/>
      <c r="F9" s="94"/>
      <c r="G9" s="94"/>
      <c r="H9" s="94"/>
      <c r="I9" s="94"/>
      <c r="J9" s="93"/>
    </row>
    <row r="10" spans="1:10" x14ac:dyDescent="0.25">
      <c r="B10" s="95"/>
      <c r="C10" s="94"/>
      <c r="D10" s="94"/>
      <c r="E10" s="94"/>
      <c r="F10" s="94"/>
      <c r="G10" s="94"/>
      <c r="H10" s="94"/>
      <c r="I10" s="94"/>
      <c r="J10" s="93"/>
    </row>
    <row r="11" spans="1:10" x14ac:dyDescent="0.25">
      <c r="B11" s="95"/>
      <c r="C11" s="94"/>
      <c r="D11" s="94"/>
      <c r="E11" s="94"/>
      <c r="F11" s="94"/>
      <c r="G11" s="94"/>
      <c r="H11" s="94"/>
      <c r="I11" s="94"/>
      <c r="J11" s="93"/>
    </row>
    <row r="12" spans="1:10" x14ac:dyDescent="0.25">
      <c r="B12" s="95"/>
      <c r="C12" s="94"/>
      <c r="D12" s="94"/>
      <c r="E12" s="94"/>
      <c r="F12" s="94"/>
      <c r="G12" s="94"/>
      <c r="H12" s="94"/>
      <c r="I12" s="94"/>
      <c r="J12" s="93"/>
    </row>
    <row r="13" spans="1:10" x14ac:dyDescent="0.25">
      <c r="B13" s="95"/>
      <c r="C13" s="94"/>
      <c r="D13" s="94"/>
      <c r="E13" s="94"/>
      <c r="F13" s="94"/>
      <c r="G13" s="94"/>
      <c r="H13" s="94"/>
      <c r="I13" s="94"/>
      <c r="J13" s="93"/>
    </row>
    <row r="14" spans="1:10" x14ac:dyDescent="0.25">
      <c r="B14" s="95"/>
      <c r="C14" s="94"/>
      <c r="D14" s="94"/>
      <c r="E14" s="94"/>
      <c r="F14" s="94"/>
      <c r="G14" s="94"/>
      <c r="H14" s="94"/>
      <c r="I14" s="94"/>
      <c r="J14" s="93"/>
    </row>
    <row r="15" spans="1:10" x14ac:dyDescent="0.25">
      <c r="B15" s="95"/>
      <c r="C15" s="94"/>
      <c r="D15" s="94"/>
      <c r="E15" s="94"/>
      <c r="F15" s="94"/>
      <c r="G15" s="94"/>
      <c r="H15" s="94"/>
      <c r="I15" s="94"/>
      <c r="J15" s="93"/>
    </row>
    <row r="16" spans="1:10" x14ac:dyDescent="0.25">
      <c r="B16" s="95"/>
      <c r="C16" s="94"/>
      <c r="D16" s="94"/>
      <c r="E16" s="94"/>
      <c r="F16" s="94"/>
      <c r="G16" s="94"/>
      <c r="H16" s="94"/>
      <c r="I16" s="94"/>
      <c r="J16" s="93"/>
    </row>
    <row r="17" spans="2:10" x14ac:dyDescent="0.25">
      <c r="B17" s="95"/>
      <c r="C17" s="94"/>
      <c r="D17" s="94"/>
      <c r="E17" s="94"/>
      <c r="F17" s="94"/>
      <c r="G17" s="94"/>
      <c r="H17" s="94"/>
      <c r="I17" s="94"/>
      <c r="J17" s="93"/>
    </row>
    <row r="18" spans="2:10" x14ac:dyDescent="0.25">
      <c r="B18" s="95"/>
      <c r="C18" s="94"/>
      <c r="D18" s="94"/>
      <c r="E18" s="94"/>
      <c r="F18" s="94"/>
      <c r="G18" s="94"/>
      <c r="H18" s="94"/>
      <c r="I18" s="94"/>
      <c r="J18" s="93"/>
    </row>
    <row r="19" spans="2:10" x14ac:dyDescent="0.25">
      <c r="B19" s="95"/>
      <c r="C19" s="94"/>
      <c r="D19" s="94"/>
      <c r="E19" s="94"/>
      <c r="F19" s="94"/>
      <c r="G19" s="94"/>
      <c r="H19" s="94"/>
      <c r="I19" s="94"/>
      <c r="J19" s="93"/>
    </row>
    <row r="20" spans="2:10" x14ac:dyDescent="0.25">
      <c r="B20" s="95"/>
      <c r="C20" s="94"/>
      <c r="D20" s="94"/>
      <c r="E20" s="94"/>
      <c r="F20" s="94"/>
      <c r="G20" s="94"/>
      <c r="H20" s="94"/>
      <c r="I20" s="94"/>
      <c r="J20" s="93"/>
    </row>
    <row r="21" spans="2:10" x14ac:dyDescent="0.25">
      <c r="B21" s="95"/>
      <c r="C21" s="94"/>
      <c r="D21" s="94"/>
      <c r="E21" s="94"/>
      <c r="F21" s="94"/>
      <c r="G21" s="94"/>
      <c r="H21" s="94"/>
      <c r="I21" s="94"/>
      <c r="J21" s="93"/>
    </row>
    <row r="22" spans="2:10" x14ac:dyDescent="0.25">
      <c r="B22" s="95"/>
      <c r="C22" s="94"/>
      <c r="D22" s="94"/>
      <c r="E22" s="94"/>
      <c r="F22" s="94"/>
      <c r="G22" s="94"/>
      <c r="H22" s="94"/>
      <c r="I22" s="94"/>
      <c r="J22" s="93"/>
    </row>
    <row r="23" spans="2:10" x14ac:dyDescent="0.25">
      <c r="B23" s="95"/>
      <c r="C23" s="94"/>
      <c r="D23" s="94"/>
      <c r="E23" s="94"/>
      <c r="F23" s="94"/>
      <c r="G23" s="94"/>
      <c r="H23" s="94"/>
      <c r="I23" s="94"/>
      <c r="J23" s="93"/>
    </row>
    <row r="24" spans="2:10" x14ac:dyDescent="0.25">
      <c r="B24" s="95"/>
      <c r="C24" s="94"/>
      <c r="D24" s="94"/>
      <c r="E24" s="94"/>
      <c r="F24" s="94"/>
      <c r="G24" s="94"/>
      <c r="H24" s="326"/>
      <c r="I24" s="94"/>
      <c r="J24" s="93"/>
    </row>
    <row r="25" spans="2:10" x14ac:dyDescent="0.25">
      <c r="B25" s="95"/>
      <c r="C25" s="94"/>
      <c r="D25" s="94"/>
      <c r="E25" s="94"/>
      <c r="F25" s="94"/>
      <c r="G25" s="94"/>
      <c r="H25" s="94"/>
      <c r="I25" s="94"/>
      <c r="J25" s="93"/>
    </row>
    <row r="26" spans="2:10" x14ac:dyDescent="0.25">
      <c r="B26" s="95"/>
      <c r="C26" s="94"/>
      <c r="D26" s="94"/>
      <c r="E26" s="94"/>
      <c r="F26" s="94"/>
      <c r="G26" s="94"/>
      <c r="H26" s="94"/>
      <c r="I26" s="94"/>
      <c r="J26" s="93"/>
    </row>
    <row r="27" spans="2:10" x14ac:dyDescent="0.25">
      <c r="B27" s="95"/>
      <c r="C27" s="94"/>
      <c r="D27" s="94"/>
      <c r="E27" s="94"/>
      <c r="F27" s="94"/>
      <c r="G27" s="94"/>
      <c r="H27" s="94"/>
      <c r="I27" s="94"/>
      <c r="J27" s="93"/>
    </row>
    <row r="28" spans="2:10" x14ac:dyDescent="0.25">
      <c r="B28" s="95"/>
      <c r="C28" s="94"/>
      <c r="D28" s="94"/>
      <c r="E28" s="94"/>
      <c r="F28" s="94"/>
      <c r="G28" s="94"/>
      <c r="H28" s="94"/>
      <c r="I28" s="94"/>
      <c r="J28" s="93"/>
    </row>
    <row r="29" spans="2:10" x14ac:dyDescent="0.25">
      <c r="B29" s="95"/>
      <c r="C29" s="94"/>
      <c r="D29" s="94"/>
      <c r="E29" s="94"/>
      <c r="F29" s="94"/>
      <c r="G29" s="94"/>
      <c r="H29" s="94"/>
      <c r="I29" s="94"/>
      <c r="J29" s="93"/>
    </row>
    <row r="30" spans="2:10" x14ac:dyDescent="0.25">
      <c r="B30" s="95"/>
      <c r="C30" s="94"/>
      <c r="D30" s="94"/>
      <c r="E30" s="94"/>
      <c r="F30" s="94"/>
      <c r="G30" s="94"/>
      <c r="H30" s="94"/>
      <c r="I30" s="94"/>
      <c r="J30" s="93"/>
    </row>
    <row r="31" spans="2:10" x14ac:dyDescent="0.25">
      <c r="B31" s="95"/>
      <c r="C31" s="94"/>
      <c r="D31" s="94"/>
      <c r="E31" s="94"/>
      <c r="F31" s="94"/>
      <c r="G31" s="94"/>
      <c r="H31" s="94"/>
      <c r="I31" s="94"/>
      <c r="J31" s="93"/>
    </row>
    <row r="32" spans="2:10" x14ac:dyDescent="0.25">
      <c r="B32" s="92"/>
      <c r="C32" s="91"/>
      <c r="D32" s="91"/>
      <c r="E32" s="91"/>
      <c r="F32" s="91"/>
      <c r="G32" s="91"/>
      <c r="H32" s="91"/>
      <c r="I32" s="91"/>
      <c r="J32" s="90"/>
    </row>
    <row r="35" spans="2:10" x14ac:dyDescent="0.25">
      <c r="B35" s="1062" t="str">
        <f>Translations!$B$1013</f>
        <v>&lt;&lt;&lt; Click here to proceed to section 11 "Emissions per aerodrome pair" &gt;&gt;&gt;</v>
      </c>
      <c r="C35" s="1062"/>
      <c r="D35" s="1062"/>
      <c r="E35" s="1062"/>
      <c r="F35" s="1062"/>
      <c r="G35" s="1063"/>
      <c r="H35" s="1063"/>
      <c r="I35" s="1063"/>
      <c r="J35" s="1063"/>
    </row>
  </sheetData>
  <sheetProtection sheet="1" objects="1" scenarios="1" formatCells="0" formatColumns="0" formatRows="0" insertColumns="0" insertRows="0"/>
  <mergeCells count="2">
    <mergeCell ref="B2:J2"/>
    <mergeCell ref="B35:J35"/>
  </mergeCells>
  <hyperlinks>
    <hyperlink ref="B35:F35" location="Annex!A1" display="&lt;&lt;&lt; Click here to proceed to section 11 &quot;Member State specific Content&quot; &gt;&gt;&gt;" xr:uid="{00000000-0004-0000-0600-000000000000}"/>
  </hyperlinks>
  <pageMargins left="0.78740157480314965" right="0.78740157480314965" top="0.78740157480314965" bottom="0.78740157480314965" header="0.39370078740157483" footer="0.39370078740157483"/>
  <pageSetup paperSize="9" scale="83" orientation="portrait" r:id="rId1"/>
  <headerFooter alignWithMargins="0">
    <oddFooter>&amp;L&amp;F&amp;C&amp;A&amp;R&amp;P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tabColor rgb="FF7030A0"/>
  </sheetPr>
  <dimension ref="A1:U261"/>
  <sheetViews>
    <sheetView topLeftCell="B51" zoomScale="115" zoomScaleNormal="115" workbookViewId="0">
      <selection activeCell="H65" sqref="H65"/>
    </sheetView>
  </sheetViews>
  <sheetFormatPr defaultColWidth="9.109375" defaultRowHeight="14.4" x14ac:dyDescent="0.25"/>
  <cols>
    <col min="1" max="1" width="3.44140625" style="692" hidden="1" customWidth="1"/>
    <col min="2" max="2" width="4.5546875" style="695" customWidth="1"/>
    <col min="3" max="3" width="12.44140625" style="695" customWidth="1"/>
    <col min="4" max="4" width="14.109375" style="695" customWidth="1"/>
    <col min="5" max="5" width="30.6640625" style="695" customWidth="1"/>
    <col min="6" max="11" width="14.109375" style="695" customWidth="1"/>
    <col min="12" max="12" width="4.5546875" style="695" customWidth="1"/>
    <col min="13" max="18" width="14.109375" style="693" hidden="1" customWidth="1"/>
    <col min="19" max="19" width="3.6640625" style="693" hidden="1" customWidth="1"/>
    <col min="20" max="20" width="9.109375" style="746"/>
    <col min="21" max="16384" width="9.109375" style="695"/>
  </cols>
  <sheetData>
    <row r="1" spans="1:21" s="692" customFormat="1" hidden="1" x14ac:dyDescent="0.25">
      <c r="A1" s="691" t="s">
        <v>38</v>
      </c>
      <c r="M1" s="691" t="s">
        <v>38</v>
      </c>
      <c r="N1" s="691" t="s">
        <v>38</v>
      </c>
      <c r="O1" s="691" t="s">
        <v>38</v>
      </c>
      <c r="P1" s="691" t="s">
        <v>38</v>
      </c>
      <c r="Q1" s="691" t="s">
        <v>38</v>
      </c>
      <c r="R1" s="691" t="s">
        <v>38</v>
      </c>
      <c r="S1" s="691" t="s">
        <v>38</v>
      </c>
    </row>
    <row r="2" spans="1:21" x14ac:dyDescent="0.25">
      <c r="T2" s="925"/>
      <c r="U2" s="746"/>
    </row>
    <row r="3" spans="1:21" ht="17.399999999999999" x14ac:dyDescent="0.25">
      <c r="C3" s="715" t="s">
        <v>2032</v>
      </c>
      <c r="T3" s="925" t="s">
        <v>2024</v>
      </c>
      <c r="U3" s="746"/>
    </row>
    <row r="4" spans="1:21" x14ac:dyDescent="0.25">
      <c r="T4" s="951"/>
      <c r="U4" s="746"/>
    </row>
    <row r="5" spans="1:21" ht="15.6" x14ac:dyDescent="0.25">
      <c r="C5" s="103" t="s">
        <v>2</v>
      </c>
      <c r="D5" s="79" t="s">
        <v>231</v>
      </c>
      <c r="E5" s="79"/>
      <c r="F5" s="79"/>
      <c r="G5" s="79"/>
      <c r="H5" s="79"/>
      <c r="I5" s="79"/>
      <c r="J5" s="79"/>
      <c r="K5" s="79"/>
      <c r="M5" s="694"/>
      <c r="N5" s="694"/>
      <c r="O5" s="694"/>
      <c r="P5" s="694"/>
      <c r="Q5" s="694"/>
      <c r="R5" s="694"/>
      <c r="S5" s="694"/>
      <c r="T5" s="925" t="s">
        <v>2034</v>
      </c>
      <c r="U5" s="746"/>
    </row>
    <row r="6" spans="1:21" s="688" customFormat="1" ht="5.0999999999999996" customHeight="1" x14ac:dyDescent="0.25">
      <c r="A6" s="692"/>
      <c r="M6" s="689"/>
      <c r="N6" s="689"/>
      <c r="O6" s="689"/>
      <c r="P6" s="689"/>
      <c r="Q6" s="689"/>
      <c r="R6" s="689"/>
      <c r="S6" s="689"/>
      <c r="T6" s="951"/>
      <c r="U6" s="899"/>
    </row>
    <row r="7" spans="1:21" ht="39.6" customHeight="1" x14ac:dyDescent="0.25">
      <c r="C7" s="1264" t="s">
        <v>2072</v>
      </c>
      <c r="D7" s="1264"/>
      <c r="E7" s="1264"/>
      <c r="F7" s="1264"/>
      <c r="G7" s="1264"/>
      <c r="H7" s="1264"/>
      <c r="I7" s="1264"/>
      <c r="J7" s="1264"/>
      <c r="K7" s="1264"/>
      <c r="L7" s="690"/>
      <c r="T7" s="925"/>
      <c r="U7" s="746" t="s">
        <v>213</v>
      </c>
    </row>
    <row r="8" spans="1:21" ht="13.2" customHeight="1" x14ac:dyDescent="0.25">
      <c r="C8" s="1264" t="s">
        <v>2093</v>
      </c>
      <c r="D8" s="1264"/>
      <c r="E8" s="1264"/>
      <c r="F8" s="1264"/>
      <c r="G8" s="1264"/>
      <c r="H8" s="1264"/>
      <c r="I8" s="1264"/>
      <c r="J8" s="1264"/>
      <c r="K8" s="1264"/>
      <c r="L8" s="690"/>
      <c r="T8" s="925"/>
      <c r="U8" s="746" t="s">
        <v>11</v>
      </c>
    </row>
    <row r="9" spans="1:21" ht="13.2" customHeight="1" x14ac:dyDescent="0.25">
      <c r="C9" s="1264" t="s">
        <v>1993</v>
      </c>
      <c r="D9" s="1264"/>
      <c r="E9" s="1264"/>
      <c r="F9" s="1264"/>
      <c r="G9" s="1264"/>
      <c r="H9" s="1264"/>
      <c r="I9" s="1264"/>
      <c r="J9" s="1264"/>
      <c r="K9" s="1264"/>
      <c r="L9" s="690"/>
      <c r="T9" s="925"/>
      <c r="U9" s="746"/>
    </row>
    <row r="10" spans="1:21" ht="13.2" customHeight="1" x14ac:dyDescent="0.25">
      <c r="C10" s="1263" t="s">
        <v>1996</v>
      </c>
      <c r="D10" s="1263"/>
      <c r="E10" s="1263"/>
      <c r="F10" s="1263"/>
      <c r="G10" s="1263"/>
      <c r="H10" s="1263"/>
      <c r="I10" s="1263"/>
      <c r="J10" s="1263"/>
      <c r="K10" s="1263"/>
      <c r="L10" s="690"/>
      <c r="T10" s="925"/>
      <c r="U10" s="746"/>
    </row>
    <row r="11" spans="1:21" ht="27.6" customHeight="1" x14ac:dyDescent="0.25">
      <c r="C11" s="1264" t="s">
        <v>1994</v>
      </c>
      <c r="D11" s="1264"/>
      <c r="E11" s="1264"/>
      <c r="F11" s="1264"/>
      <c r="G11" s="1264"/>
      <c r="H11" s="1264"/>
      <c r="I11" s="1264"/>
      <c r="J11" s="1264"/>
      <c r="K11" s="1264"/>
      <c r="L11" s="690"/>
      <c r="T11" s="925"/>
      <c r="U11" s="746"/>
    </row>
    <row r="12" spans="1:21" ht="13.2" customHeight="1" x14ac:dyDescent="0.25">
      <c r="C12" s="1263" t="s">
        <v>1995</v>
      </c>
      <c r="D12" s="1263"/>
      <c r="E12" s="1263"/>
      <c r="F12" s="1263"/>
      <c r="G12" s="1263"/>
      <c r="H12" s="1263"/>
      <c r="I12" s="1263"/>
      <c r="J12" s="1263"/>
      <c r="K12" s="1263"/>
      <c r="L12" s="690"/>
      <c r="T12" s="925"/>
      <c r="U12" s="746"/>
    </row>
    <row r="13" spans="1:21" ht="13.2" customHeight="1" x14ac:dyDescent="0.25">
      <c r="C13" s="1264" t="s">
        <v>1997</v>
      </c>
      <c r="D13" s="1264"/>
      <c r="E13" s="1264"/>
      <c r="F13" s="1264"/>
      <c r="G13" s="1264"/>
      <c r="H13" s="1264"/>
      <c r="I13" s="1264"/>
      <c r="J13" s="1264"/>
      <c r="K13" s="1264"/>
      <c r="L13" s="690"/>
      <c r="T13" s="925"/>
      <c r="U13" s="746"/>
    </row>
    <row r="14" spans="1:21" ht="27.6" customHeight="1" x14ac:dyDescent="0.25">
      <c r="C14" s="1265"/>
      <c r="D14" s="1265"/>
      <c r="E14" s="1265"/>
      <c r="F14" s="1265"/>
      <c r="G14" s="1265"/>
      <c r="H14" s="1265"/>
      <c r="I14" s="1265"/>
      <c r="J14" s="1265"/>
      <c r="K14" s="1265"/>
      <c r="L14" s="690"/>
      <c r="T14" s="925" t="s">
        <v>2035</v>
      </c>
      <c r="U14" s="746"/>
    </row>
    <row r="15" spans="1:21" ht="13.2" customHeight="1" x14ac:dyDescent="0.25">
      <c r="C15" s="1265" t="s">
        <v>1998</v>
      </c>
      <c r="D15" s="1083"/>
      <c r="E15" s="1083"/>
      <c r="F15" s="1083"/>
      <c r="G15" s="1083"/>
      <c r="H15" s="1083"/>
      <c r="I15" s="1083"/>
      <c r="J15" s="1083"/>
      <c r="K15" s="1083"/>
      <c r="L15" s="690"/>
      <c r="T15" s="925" t="s">
        <v>2036</v>
      </c>
      <c r="U15" s="746"/>
    </row>
    <row r="16" spans="1:21" ht="27.6" customHeight="1" x14ac:dyDescent="0.25">
      <c r="C16" s="888"/>
      <c r="D16" s="1266" t="s">
        <v>2061</v>
      </c>
      <c r="E16" s="1267"/>
      <c r="F16" s="1267"/>
      <c r="G16" s="1267"/>
      <c r="H16" s="1267"/>
      <c r="I16" s="1267"/>
      <c r="J16" s="1268"/>
      <c r="K16" s="1268"/>
      <c r="L16" s="690"/>
      <c r="T16" s="925"/>
      <c r="U16" s="746"/>
    </row>
    <row r="17" spans="3:21" ht="27.6" customHeight="1" x14ac:dyDescent="0.25">
      <c r="C17" s="888"/>
      <c r="D17" s="1266" t="s">
        <v>2067</v>
      </c>
      <c r="E17" s="1267"/>
      <c r="F17" s="1267"/>
      <c r="G17" s="1267"/>
      <c r="H17" s="1267"/>
      <c r="I17" s="1267"/>
      <c r="J17" s="1268"/>
      <c r="K17" s="1268"/>
      <c r="L17" s="690"/>
      <c r="T17" s="925"/>
      <c r="U17" s="746" t="s">
        <v>213</v>
      </c>
    </row>
    <row r="18" spans="3:21" ht="26.4" customHeight="1" x14ac:dyDescent="0.25">
      <c r="C18" s="888"/>
      <c r="D18" s="1266" t="s">
        <v>1999</v>
      </c>
      <c r="E18" s="1267"/>
      <c r="F18" s="1267"/>
      <c r="G18" s="1267"/>
      <c r="H18" s="1267"/>
      <c r="I18" s="1267"/>
      <c r="J18" s="1268"/>
      <c r="K18" s="1268"/>
      <c r="L18" s="690"/>
      <c r="T18" s="925"/>
      <c r="U18" s="746"/>
    </row>
    <row r="19" spans="3:21" ht="27.6" customHeight="1" x14ac:dyDescent="0.25">
      <c r="C19" s="888"/>
      <c r="D19" s="1266" t="s">
        <v>2000</v>
      </c>
      <c r="E19" s="1267"/>
      <c r="F19" s="1267"/>
      <c r="G19" s="1267"/>
      <c r="H19" s="1267"/>
      <c r="I19" s="1267"/>
      <c r="J19" s="1268"/>
      <c r="K19" s="1268"/>
      <c r="L19" s="690"/>
      <c r="T19" s="925"/>
      <c r="U19" s="746"/>
    </row>
    <row r="20" spans="3:21" ht="27.6" customHeight="1" x14ac:dyDescent="0.25">
      <c r="C20" s="888"/>
      <c r="D20" s="1266" t="s">
        <v>2001</v>
      </c>
      <c r="E20" s="1267"/>
      <c r="F20" s="1267"/>
      <c r="G20" s="1267"/>
      <c r="H20" s="1267"/>
      <c r="I20" s="1267"/>
      <c r="J20" s="1268"/>
      <c r="K20" s="1268"/>
      <c r="L20" s="690"/>
      <c r="T20" s="925"/>
      <c r="U20" s="746"/>
    </row>
    <row r="21" spans="3:21" ht="26.4" customHeight="1" x14ac:dyDescent="0.25">
      <c r="C21" s="1269" t="s">
        <v>2002</v>
      </c>
      <c r="D21" s="1270"/>
      <c r="E21" s="1270"/>
      <c r="F21" s="1270"/>
      <c r="G21" s="1270"/>
      <c r="H21" s="1270"/>
      <c r="I21" s="1270"/>
      <c r="J21" s="1270"/>
      <c r="K21" s="1270"/>
      <c r="L21" s="690"/>
      <c r="T21" s="925"/>
      <c r="U21" s="746"/>
    </row>
    <row r="22" spans="3:21" ht="27.6" customHeight="1" x14ac:dyDescent="0.25">
      <c r="C22" s="1256" t="s">
        <v>2003</v>
      </c>
      <c r="D22" s="1089"/>
      <c r="E22" s="1257" t="s">
        <v>2005</v>
      </c>
      <c r="F22" s="1258"/>
      <c r="G22" s="1258"/>
      <c r="H22" s="1258"/>
      <c r="I22" s="1258"/>
      <c r="J22" s="1258"/>
      <c r="K22" s="1258"/>
      <c r="L22" s="690"/>
      <c r="T22" s="925"/>
      <c r="U22" s="746"/>
    </row>
    <row r="23" spans="3:21" ht="26.4" customHeight="1" x14ac:dyDescent="0.25">
      <c r="C23" s="1259" t="s">
        <v>2004</v>
      </c>
      <c r="D23" s="1271"/>
      <c r="E23" s="1261" t="s">
        <v>2007</v>
      </c>
      <c r="F23" s="1262"/>
      <c r="G23" s="1262"/>
      <c r="H23" s="1262"/>
      <c r="I23" s="1262"/>
      <c r="J23" s="1262"/>
      <c r="K23" s="1262"/>
      <c r="L23" s="690"/>
      <c r="T23" s="925"/>
      <c r="U23" s="746"/>
    </row>
    <row r="24" spans="3:21" ht="13.2" customHeight="1" x14ac:dyDescent="0.25">
      <c r="C24" s="1265"/>
      <c r="D24" s="1272"/>
      <c r="E24" s="1275" t="s">
        <v>2006</v>
      </c>
      <c r="F24" s="1276"/>
      <c r="G24" s="1276"/>
      <c r="H24" s="1276"/>
      <c r="I24" s="1276"/>
      <c r="J24" s="1276"/>
      <c r="K24" s="1276"/>
      <c r="L24" s="690"/>
      <c r="T24" s="925"/>
      <c r="U24" s="746"/>
    </row>
    <row r="25" spans="3:21" ht="39.6" customHeight="1" x14ac:dyDescent="0.25">
      <c r="C25" s="1273"/>
      <c r="D25" s="1274"/>
      <c r="E25" s="1277" t="s">
        <v>2008</v>
      </c>
      <c r="F25" s="1278"/>
      <c r="G25" s="1278"/>
      <c r="H25" s="1278"/>
      <c r="I25" s="1278"/>
      <c r="J25" s="1278"/>
      <c r="K25" s="1278"/>
      <c r="L25" s="690"/>
      <c r="T25" s="925"/>
      <c r="U25" s="746"/>
    </row>
    <row r="26" spans="3:21" ht="4.95" customHeight="1" x14ac:dyDescent="0.25">
      <c r="C26" s="887"/>
      <c r="D26" s="887"/>
      <c r="E26" s="889"/>
      <c r="F26" s="889"/>
      <c r="G26" s="889"/>
      <c r="H26" s="889"/>
      <c r="I26" s="889"/>
      <c r="J26" s="889"/>
      <c r="K26" s="889"/>
      <c r="L26" s="690"/>
      <c r="T26" s="925"/>
      <c r="U26" s="746"/>
    </row>
    <row r="27" spans="3:21" ht="13.2" customHeight="1" x14ac:dyDescent="0.25">
      <c r="C27" s="1263" t="s">
        <v>2009</v>
      </c>
      <c r="D27" s="1263"/>
      <c r="E27" s="1263"/>
      <c r="F27" s="1263"/>
      <c r="G27" s="1263"/>
      <c r="H27" s="1263"/>
      <c r="I27" s="1263"/>
      <c r="J27" s="1263"/>
      <c r="K27" s="1263"/>
      <c r="L27" s="690"/>
      <c r="T27" s="925"/>
      <c r="U27" s="746"/>
    </row>
    <row r="28" spans="3:21" ht="27.6" customHeight="1" x14ac:dyDescent="0.25">
      <c r="C28" s="1264" t="s">
        <v>2010</v>
      </c>
      <c r="D28" s="1264"/>
      <c r="E28" s="1264"/>
      <c r="F28" s="1264"/>
      <c r="G28" s="1264"/>
      <c r="H28" s="1264"/>
      <c r="I28" s="1264"/>
      <c r="J28" s="1264"/>
      <c r="K28" s="1264"/>
      <c r="L28" s="690"/>
      <c r="T28" s="925"/>
      <c r="U28" s="746"/>
    </row>
    <row r="29" spans="3:21" ht="40.950000000000003" customHeight="1" x14ac:dyDescent="0.25">
      <c r="C29" s="1264" t="s">
        <v>2011</v>
      </c>
      <c r="D29" s="1264"/>
      <c r="E29" s="1264"/>
      <c r="F29" s="1264"/>
      <c r="G29" s="1264"/>
      <c r="H29" s="1264"/>
      <c r="I29" s="1264"/>
      <c r="J29" s="1264"/>
      <c r="K29" s="1264"/>
      <c r="L29" s="690"/>
      <c r="T29" s="925"/>
      <c r="U29" s="746"/>
    </row>
    <row r="30" spans="3:21" ht="13.2" customHeight="1" x14ac:dyDescent="0.25">
      <c r="C30" s="1264" t="s">
        <v>2068</v>
      </c>
      <c r="D30" s="1264"/>
      <c r="E30" s="1264"/>
      <c r="F30" s="1264"/>
      <c r="G30" s="1264"/>
      <c r="H30" s="1264"/>
      <c r="I30" s="1264"/>
      <c r="J30" s="1264"/>
      <c r="K30" s="1264"/>
      <c r="L30" s="690"/>
      <c r="T30" s="925"/>
      <c r="U30" s="746" t="s">
        <v>213</v>
      </c>
    </row>
    <row r="31" spans="3:21" ht="13.2" customHeight="1" x14ac:dyDescent="0.25">
      <c r="C31" s="1264" t="s">
        <v>2038</v>
      </c>
      <c r="D31" s="1264"/>
      <c r="E31" s="1264"/>
      <c r="F31" s="1264"/>
      <c r="G31" s="1264"/>
      <c r="H31" s="1264"/>
      <c r="I31" s="1264"/>
      <c r="J31" s="1264"/>
      <c r="K31" s="1264"/>
      <c r="L31" s="690"/>
      <c r="T31" s="925"/>
      <c r="U31" s="746"/>
    </row>
    <row r="32" spans="3:21" ht="27.6" customHeight="1" x14ac:dyDescent="0.25">
      <c r="C32" s="1264" t="s">
        <v>2039</v>
      </c>
      <c r="D32" s="1264"/>
      <c r="E32" s="1264"/>
      <c r="F32" s="1264"/>
      <c r="G32" s="1264"/>
      <c r="H32" s="1264"/>
      <c r="I32" s="1264"/>
      <c r="J32" s="1264"/>
      <c r="K32" s="1264"/>
      <c r="L32" s="690"/>
      <c r="T32" s="925"/>
      <c r="U32" s="746"/>
    </row>
    <row r="33" spans="3:21" ht="13.2" customHeight="1" x14ac:dyDescent="0.25">
      <c r="C33" s="1263" t="s">
        <v>2012</v>
      </c>
      <c r="D33" s="1263"/>
      <c r="E33" s="1263"/>
      <c r="F33" s="1263"/>
      <c r="G33" s="1263"/>
      <c r="H33" s="1263"/>
      <c r="I33" s="1263"/>
      <c r="J33" s="1263"/>
      <c r="K33" s="1263"/>
      <c r="L33" s="690"/>
      <c r="T33" s="925"/>
      <c r="U33" s="746"/>
    </row>
    <row r="34" spans="3:21" ht="13.2" customHeight="1" x14ac:dyDescent="0.25">
      <c r="C34" s="1256" t="s">
        <v>233</v>
      </c>
      <c r="D34" s="1089"/>
      <c r="E34" s="1257" t="s">
        <v>2040</v>
      </c>
      <c r="F34" s="1258"/>
      <c r="G34" s="1258"/>
      <c r="H34" s="1258"/>
      <c r="I34" s="1258"/>
      <c r="J34" s="1258"/>
      <c r="K34" s="1258"/>
      <c r="L34" s="690"/>
      <c r="T34" s="925"/>
      <c r="U34" s="746"/>
    </row>
    <row r="35" spans="3:21" ht="27.6" customHeight="1" x14ac:dyDescent="0.25">
      <c r="C35" s="1256" t="s">
        <v>234</v>
      </c>
      <c r="D35" s="1089"/>
      <c r="E35" s="1257" t="s">
        <v>2014</v>
      </c>
      <c r="F35" s="1258"/>
      <c r="G35" s="1258"/>
      <c r="H35" s="1258"/>
      <c r="I35" s="1258"/>
      <c r="J35" s="1258"/>
      <c r="K35" s="1258"/>
      <c r="L35" s="690"/>
      <c r="T35" s="925"/>
      <c r="U35" s="746"/>
    </row>
    <row r="36" spans="3:21" ht="13.2" customHeight="1" x14ac:dyDescent="0.25">
      <c r="C36" s="1256" t="s">
        <v>2070</v>
      </c>
      <c r="D36" s="1089"/>
      <c r="E36" s="1257" t="s">
        <v>2013</v>
      </c>
      <c r="F36" s="1258"/>
      <c r="G36" s="1258"/>
      <c r="H36" s="1258"/>
      <c r="I36" s="1258"/>
      <c r="J36" s="1258"/>
      <c r="K36" s="1258"/>
      <c r="L36" s="690"/>
      <c r="T36" s="925"/>
      <c r="U36" s="746" t="s">
        <v>2071</v>
      </c>
    </row>
    <row r="37" spans="3:21" ht="26.4" customHeight="1" x14ac:dyDescent="0.25">
      <c r="C37" s="1256" t="s">
        <v>2066</v>
      </c>
      <c r="D37" s="1089"/>
      <c r="E37" s="1257" t="s">
        <v>2065</v>
      </c>
      <c r="F37" s="1258"/>
      <c r="G37" s="1258"/>
      <c r="H37" s="1258"/>
      <c r="I37" s="1258"/>
      <c r="J37" s="1258"/>
      <c r="K37" s="1258"/>
      <c r="L37" s="690"/>
      <c r="T37" s="925"/>
      <c r="U37" s="746" t="s">
        <v>213</v>
      </c>
    </row>
    <row r="38" spans="3:21" ht="27.6" customHeight="1" x14ac:dyDescent="0.25">
      <c r="C38" s="1256" t="s">
        <v>2016</v>
      </c>
      <c r="D38" s="1089"/>
      <c r="E38" s="1257" t="s">
        <v>2062</v>
      </c>
      <c r="F38" s="1258"/>
      <c r="G38" s="1258"/>
      <c r="H38" s="1258"/>
      <c r="I38" s="1258"/>
      <c r="J38" s="1258"/>
      <c r="K38" s="1258"/>
      <c r="L38" s="690"/>
      <c r="T38" s="925"/>
      <c r="U38" s="746"/>
    </row>
    <row r="39" spans="3:21" ht="27.6" customHeight="1" x14ac:dyDescent="0.25">
      <c r="C39" s="1256" t="s">
        <v>2017</v>
      </c>
      <c r="D39" s="1089"/>
      <c r="E39" s="1257" t="s">
        <v>2063</v>
      </c>
      <c r="F39" s="1258"/>
      <c r="G39" s="1258"/>
      <c r="H39" s="1258"/>
      <c r="I39" s="1258"/>
      <c r="J39" s="1258"/>
      <c r="K39" s="1258"/>
      <c r="L39" s="690"/>
      <c r="T39" s="925"/>
      <c r="U39" s="746"/>
    </row>
    <row r="40" spans="3:21" ht="13.2" customHeight="1" x14ac:dyDescent="0.25">
      <c r="C40" s="1259" t="s">
        <v>2018</v>
      </c>
      <c r="D40" s="1260"/>
      <c r="E40" s="1261" t="s">
        <v>2025</v>
      </c>
      <c r="F40" s="1262"/>
      <c r="G40" s="1262"/>
      <c r="H40" s="1262"/>
      <c r="I40" s="1262"/>
      <c r="J40" s="1262"/>
      <c r="K40" s="1262"/>
      <c r="L40" s="690"/>
      <c r="T40" s="925"/>
      <c r="U40" s="746"/>
    </row>
    <row r="41" spans="3:21" ht="13.2" customHeight="1" x14ac:dyDescent="0.25">
      <c r="C41" s="1273"/>
      <c r="D41" s="1135"/>
      <c r="E41" s="1282" t="s">
        <v>2078</v>
      </c>
      <c r="F41" s="1283"/>
      <c r="G41" s="1283"/>
      <c r="H41" s="1283"/>
      <c r="I41" s="1283"/>
      <c r="J41" s="1283"/>
      <c r="K41" s="1283"/>
      <c r="L41" s="690"/>
      <c r="T41" s="925"/>
      <c r="U41" s="746" t="s">
        <v>2077</v>
      </c>
    </row>
    <row r="42" spans="3:21" ht="27.6" customHeight="1" x14ac:dyDescent="0.25">
      <c r="C42" s="1256" t="s">
        <v>2019</v>
      </c>
      <c r="D42" s="1089"/>
      <c r="E42" s="1257" t="s">
        <v>2026</v>
      </c>
      <c r="F42" s="1258"/>
      <c r="G42" s="1258"/>
      <c r="H42" s="1258"/>
      <c r="I42" s="1258"/>
      <c r="J42" s="1258"/>
      <c r="K42" s="1258"/>
      <c r="L42" s="690"/>
      <c r="T42" s="925"/>
      <c r="U42" s="746"/>
    </row>
    <row r="43" spans="3:21" ht="27.6" customHeight="1" x14ac:dyDescent="0.25">
      <c r="C43" s="1256" t="s">
        <v>235</v>
      </c>
      <c r="D43" s="1089"/>
      <c r="E43" s="1257" t="s">
        <v>2027</v>
      </c>
      <c r="F43" s="1258"/>
      <c r="G43" s="1258"/>
      <c r="H43" s="1258"/>
      <c r="I43" s="1258"/>
      <c r="J43" s="1258"/>
      <c r="K43" s="1258"/>
      <c r="L43" s="690"/>
      <c r="T43" s="925"/>
      <c r="U43" s="746"/>
    </row>
    <row r="44" spans="3:21" ht="4.95" customHeight="1" x14ac:dyDescent="0.25">
      <c r="C44" s="887"/>
      <c r="D44" s="837"/>
      <c r="E44" s="889"/>
      <c r="F44" s="889"/>
      <c r="G44" s="889"/>
      <c r="H44" s="889"/>
      <c r="I44" s="889"/>
      <c r="J44" s="889"/>
      <c r="K44" s="889"/>
      <c r="L44" s="690"/>
      <c r="T44" s="925"/>
      <c r="U44" s="746"/>
    </row>
    <row r="45" spans="3:21" ht="13.2" customHeight="1" x14ac:dyDescent="0.25">
      <c r="C45" s="1263" t="s">
        <v>2028</v>
      </c>
      <c r="D45" s="1263"/>
      <c r="E45" s="1263"/>
      <c r="F45" s="1263"/>
      <c r="G45" s="1263"/>
      <c r="H45" s="1263"/>
      <c r="I45" s="1263"/>
      <c r="J45" s="1263"/>
      <c r="K45" s="1263"/>
      <c r="L45" s="690"/>
      <c r="T45" s="925"/>
      <c r="U45" s="746"/>
    </row>
    <row r="46" spans="3:21" ht="27.6" customHeight="1" x14ac:dyDescent="0.25">
      <c r="C46" s="1287" t="s">
        <v>2069</v>
      </c>
      <c r="D46" s="1287"/>
      <c r="E46" s="1287"/>
      <c r="F46" s="1287"/>
      <c r="G46" s="1287"/>
      <c r="H46" s="1287"/>
      <c r="I46" s="1287"/>
      <c r="J46" s="1287"/>
      <c r="K46" s="1287"/>
      <c r="L46" s="690"/>
      <c r="T46" s="925"/>
      <c r="U46" s="746" t="s">
        <v>213</v>
      </c>
    </row>
    <row r="47" spans="3:21" x14ac:dyDescent="0.25">
      <c r="C47" s="1264" t="s">
        <v>2041</v>
      </c>
      <c r="D47" s="1264"/>
      <c r="E47" s="1264"/>
      <c r="F47" s="1264"/>
      <c r="G47" s="1264"/>
      <c r="H47" s="1264"/>
      <c r="I47" s="1264"/>
      <c r="J47" s="1264"/>
      <c r="K47" s="1264"/>
      <c r="T47" s="925"/>
      <c r="U47" s="746"/>
    </row>
    <row r="48" spans="3:21" x14ac:dyDescent="0.25">
      <c r="C48" s="901" t="s">
        <v>1936</v>
      </c>
      <c r="D48" s="1285" t="s">
        <v>2029</v>
      </c>
      <c r="E48" s="968"/>
      <c r="F48" s="968"/>
      <c r="G48" s="968"/>
      <c r="H48" s="968"/>
      <c r="I48" s="968"/>
      <c r="J48" s="968"/>
      <c r="K48" s="968"/>
      <c r="T48" s="925"/>
      <c r="U48" s="746"/>
    </row>
    <row r="49" spans="1:21" ht="27.6" customHeight="1" x14ac:dyDescent="0.25">
      <c r="C49" s="901" t="s">
        <v>1936</v>
      </c>
      <c r="D49" s="1285" t="s">
        <v>2030</v>
      </c>
      <c r="E49" s="968"/>
      <c r="F49" s="968"/>
      <c r="G49" s="968"/>
      <c r="H49" s="968"/>
      <c r="I49" s="968"/>
      <c r="J49" s="968"/>
      <c r="K49" s="968"/>
      <c r="T49" s="925"/>
      <c r="U49" s="746"/>
    </row>
    <row r="50" spans="1:21" ht="13.2" customHeight="1" x14ac:dyDescent="0.25">
      <c r="C50" s="901" t="s">
        <v>1936</v>
      </c>
      <c r="D50" s="1285" t="s">
        <v>2031</v>
      </c>
      <c r="E50" s="968"/>
      <c r="F50" s="968"/>
      <c r="G50" s="968"/>
      <c r="H50" s="968"/>
      <c r="I50" s="968"/>
      <c r="J50" s="968"/>
      <c r="K50" s="968"/>
      <c r="T50" s="925"/>
      <c r="U50" s="746"/>
    </row>
    <row r="51" spans="1:21" ht="13.2" customHeight="1" x14ac:dyDescent="0.25">
      <c r="C51" s="1263" t="s">
        <v>2091</v>
      </c>
      <c r="D51" s="1263"/>
      <c r="E51" s="1263"/>
      <c r="F51" s="1263"/>
      <c r="G51" s="1263"/>
      <c r="H51" s="1263"/>
      <c r="I51" s="1263"/>
      <c r="J51" s="1263"/>
      <c r="K51" s="1263"/>
      <c r="L51" s="690"/>
      <c r="T51" s="925"/>
      <c r="U51" s="746" t="s">
        <v>4</v>
      </c>
    </row>
    <row r="52" spans="1:21" ht="13.2" customHeight="1" x14ac:dyDescent="0.25">
      <c r="C52" s="1287" t="s">
        <v>2092</v>
      </c>
      <c r="D52" s="1287"/>
      <c r="E52" s="1287"/>
      <c r="F52" s="1287"/>
      <c r="G52" s="1287"/>
      <c r="H52" s="1287"/>
      <c r="I52" s="1287"/>
      <c r="J52" s="1287"/>
      <c r="K52" s="1287"/>
      <c r="L52" s="690"/>
      <c r="T52" s="925"/>
      <c r="U52" s="746" t="s">
        <v>4</v>
      </c>
    </row>
    <row r="53" spans="1:21" ht="4.95" customHeight="1" x14ac:dyDescent="0.25">
      <c r="C53" s="1286"/>
      <c r="D53" s="1017"/>
      <c r="E53" s="541"/>
      <c r="F53" s="541"/>
      <c r="G53" s="541"/>
      <c r="H53" s="541"/>
      <c r="I53" s="541"/>
      <c r="J53" s="823"/>
      <c r="K53" s="541"/>
      <c r="M53" s="599"/>
      <c r="N53" s="599"/>
      <c r="O53" s="599"/>
      <c r="P53" s="599"/>
      <c r="Q53" s="599"/>
      <c r="R53" s="599"/>
      <c r="S53" s="599"/>
      <c r="T53" s="925"/>
      <c r="U53" s="746"/>
    </row>
    <row r="54" spans="1:21" ht="13.2" customHeight="1" x14ac:dyDescent="0.25">
      <c r="C54" s="390" t="s">
        <v>232</v>
      </c>
      <c r="T54" s="925"/>
      <c r="U54" s="746"/>
    </row>
    <row r="55" spans="1:21" x14ac:dyDescent="0.25">
      <c r="C55" s="1284" t="s">
        <v>2020</v>
      </c>
      <c r="D55" s="1284"/>
      <c r="E55" s="1284"/>
      <c r="F55" s="1284"/>
      <c r="G55" s="1284"/>
      <c r="H55" s="1284"/>
      <c r="I55" s="1284"/>
      <c r="J55" s="1284"/>
      <c r="K55" s="1284"/>
      <c r="T55" s="925"/>
      <c r="U55" s="746"/>
    </row>
    <row r="56" spans="1:21" ht="13.2" customHeight="1" x14ac:dyDescent="0.25">
      <c r="C56" s="1279" t="s">
        <v>2090</v>
      </c>
      <c r="D56" s="1280"/>
      <c r="E56" s="1280"/>
      <c r="F56" s="1280"/>
      <c r="G56" s="1280"/>
      <c r="H56" s="1280"/>
      <c r="I56" s="1280"/>
      <c r="J56" s="1280"/>
      <c r="K56" s="1281"/>
      <c r="T56" s="925"/>
      <c r="U56" s="746" t="s">
        <v>2076</v>
      </c>
    </row>
    <row r="57" spans="1:21" ht="5.0999999999999996" customHeight="1" x14ac:dyDescent="0.25">
      <c r="C57" s="820"/>
      <c r="T57" s="925"/>
      <c r="U57" s="746"/>
    </row>
    <row r="58" spans="1:21" s="747" customFormat="1" ht="57.6" x14ac:dyDescent="0.25">
      <c r="A58" s="692"/>
      <c r="C58" s="748" t="s">
        <v>233</v>
      </c>
      <c r="D58" s="749" t="s">
        <v>234</v>
      </c>
      <c r="E58" s="750" t="s">
        <v>2070</v>
      </c>
      <c r="F58" s="751" t="s">
        <v>2066</v>
      </c>
      <c r="G58" s="751" t="s">
        <v>2016</v>
      </c>
      <c r="H58" s="751" t="s">
        <v>2017</v>
      </c>
      <c r="I58" s="752" t="s">
        <v>2018</v>
      </c>
      <c r="J58" s="752" t="s">
        <v>2019</v>
      </c>
      <c r="K58" s="753" t="s">
        <v>235</v>
      </c>
      <c r="M58" s="696" t="s">
        <v>236</v>
      </c>
      <c r="N58" s="697" t="s">
        <v>2021</v>
      </c>
      <c r="O58" s="697" t="s">
        <v>237</v>
      </c>
      <c r="P58" s="697" t="s">
        <v>238</v>
      </c>
      <c r="Q58" s="697" t="s">
        <v>239</v>
      </c>
      <c r="R58" s="697" t="s">
        <v>240</v>
      </c>
      <c r="S58" s="896"/>
      <c r="T58" s="952"/>
      <c r="U58" s="900"/>
    </row>
    <row r="59" spans="1:21" x14ac:dyDescent="0.25">
      <c r="C59" s="698" t="s">
        <v>2106</v>
      </c>
      <c r="D59" s="699" t="b">
        <v>0</v>
      </c>
      <c r="E59" s="700" t="s">
        <v>2111</v>
      </c>
      <c r="F59" s="701">
        <v>300</v>
      </c>
      <c r="G59" s="858">
        <v>0.1</v>
      </c>
      <c r="H59" s="858">
        <v>0.1</v>
      </c>
      <c r="I59" s="861">
        <f>IF(ISNUMBER($F59), IFERROR($F59*G59,"--"),"")</f>
        <v>30</v>
      </c>
      <c r="J59" s="861">
        <f>IF(AND(ISNUMBER($F59),N59=TRUE), IFERROR($F59*G59,"--"),"")</f>
        <v>30</v>
      </c>
      <c r="K59" s="861">
        <f>IF(ISNUMBER($F59), IFERROR($F59*H59,"--"),"")</f>
        <v>30</v>
      </c>
      <c r="M59" s="702" t="b">
        <f>IF(E59="","", IFERROR(IF(N59 = FALSE,  TRUE,  FALSE),  ""))</f>
        <v>0</v>
      </c>
      <c r="N59" s="703" t="b">
        <f t="shared" ref="N59:N90" si="0">IFERROR(INDEX(CNTR_FuelListIsZero, MATCH(E59, CNTR_FuelListNames, 0)),"")</f>
        <v>1</v>
      </c>
      <c r="O59" s="703" t="b">
        <f t="shared" ref="O59:O90" si="1">IF(E59="","",IFERROR(NOT(ISNUMBER(INDEX(CNTR_FuelListSupportRate, MATCH(E59, CNTR_FuelListNames, 0)))),  ""))</f>
        <v>0</v>
      </c>
      <c r="P59" s="895" t="b">
        <f t="shared" ref="P59:P90" si="2">IFERROR( OR( INDEX(CNTR_FuelListCompleteData, MATCH(E59, CNTR_FuelListNames, 0)) = FALSE,   INDEX(CNTR_FuelListIsFossil, MATCH(E59, CNTR_FuelListNames, 0)) = TRUE),  "")</f>
        <v>0</v>
      </c>
      <c r="Q59" s="703" t="str">
        <f t="shared" ref="Q59:Q90" si="3">IFERROR(IF(INDEX(CNTR_FuelListSubType, MATCH(E59, CNTR_FuelListNames, 0)) = "",  "",  INDEX(CNTR_FuelListSubType, MATCH(E59, CNTR_FuelListNames, 0))),  "")</f>
        <v>Biofuel</v>
      </c>
      <c r="R59" s="821">
        <f t="shared" ref="R59:R90" si="4">IFERROR(IF( AND(D59=TRUE, ISNUMBER(INDEX(CNTR_FuelListSupportRate, MATCH( E59, CNTR_FuelListNames, 0)))),   1,   INDEX(CNTR_FuelListSupportRate, MATCH(E59, CNTR_FuelListNames, 0))),  "")</f>
        <v>0.5</v>
      </c>
      <c r="S59" s="897"/>
      <c r="T59" s="925"/>
      <c r="U59" s="746"/>
    </row>
    <row r="60" spans="1:21" x14ac:dyDescent="0.25">
      <c r="C60" s="704" t="s">
        <v>2106</v>
      </c>
      <c r="D60" s="705" t="b">
        <v>0</v>
      </c>
      <c r="E60" s="700" t="s">
        <v>2112</v>
      </c>
      <c r="F60" s="706">
        <v>50</v>
      </c>
      <c r="G60" s="859">
        <v>0.1</v>
      </c>
      <c r="H60" s="859">
        <v>0.1</v>
      </c>
      <c r="I60" s="861">
        <f t="shared" ref="I60:I123" si="5">IF(ISNUMBER($F60), IFERROR($F60*G60,"--"),"")</f>
        <v>5</v>
      </c>
      <c r="J60" s="861">
        <f t="shared" ref="J60:J123" si="6">IF(AND(ISNUMBER($F60),N60=TRUE), IFERROR($F60*G60,"--"),"")</f>
        <v>5</v>
      </c>
      <c r="K60" s="861">
        <f t="shared" ref="K60:K123" si="7">IF(ISNUMBER($F60), IFERROR($F60*H60,"--"),"")</f>
        <v>5</v>
      </c>
      <c r="M60" s="702" t="b">
        <f t="shared" ref="M60:M123" si="8">IF(E60="","", IFERROR(IF(N60 = FALSE,  TRUE,  FALSE),  ""))</f>
        <v>0</v>
      </c>
      <c r="N60" s="703" t="b">
        <f t="shared" si="0"/>
        <v>1</v>
      </c>
      <c r="O60" s="703" t="b">
        <f t="shared" si="1"/>
        <v>0</v>
      </c>
      <c r="P60" s="895" t="b">
        <f t="shared" si="2"/>
        <v>0</v>
      </c>
      <c r="Q60" s="703" t="str">
        <f t="shared" si="3"/>
        <v>RFNBO</v>
      </c>
      <c r="R60" s="821">
        <f t="shared" si="4"/>
        <v>0.95</v>
      </c>
      <c r="S60" s="897"/>
      <c r="T60" s="925"/>
      <c r="U60" s="746"/>
    </row>
    <row r="61" spans="1:21" x14ac:dyDescent="0.25">
      <c r="C61" s="704" t="s">
        <v>2106</v>
      </c>
      <c r="D61" s="705" t="b">
        <v>0</v>
      </c>
      <c r="E61" s="700" t="s">
        <v>2113</v>
      </c>
      <c r="F61" s="706">
        <v>2</v>
      </c>
      <c r="G61" s="859">
        <v>1</v>
      </c>
      <c r="H61" s="859"/>
      <c r="I61" s="861">
        <f t="shared" si="5"/>
        <v>2</v>
      </c>
      <c r="J61" s="861" t="str">
        <f t="shared" si="6"/>
        <v/>
      </c>
      <c r="K61" s="861">
        <f t="shared" si="7"/>
        <v>0</v>
      </c>
      <c r="M61" s="702" t="b">
        <f t="shared" si="8"/>
        <v>1</v>
      </c>
      <c r="N61" s="703" t="b">
        <f t="shared" si="0"/>
        <v>0</v>
      </c>
      <c r="O61" s="703" t="b">
        <f t="shared" si="1"/>
        <v>1</v>
      </c>
      <c r="P61" s="895" t="b">
        <f t="shared" si="2"/>
        <v>0</v>
      </c>
      <c r="Q61" s="703" t="str">
        <f t="shared" si="3"/>
        <v>Non-zero Biofuel</v>
      </c>
      <c r="R61" s="821" t="str">
        <f t="shared" si="4"/>
        <v>n.a.</v>
      </c>
      <c r="S61" s="897"/>
      <c r="T61" s="925"/>
      <c r="U61" s="746"/>
    </row>
    <row r="62" spans="1:21" x14ac:dyDescent="0.25">
      <c r="C62" s="704" t="s">
        <v>2108</v>
      </c>
      <c r="D62" s="705" t="b">
        <v>0</v>
      </c>
      <c r="E62" s="700" t="s">
        <v>2111</v>
      </c>
      <c r="F62" s="706">
        <v>40</v>
      </c>
      <c r="G62" s="859">
        <v>0.25</v>
      </c>
      <c r="H62" s="859">
        <v>0.25</v>
      </c>
      <c r="I62" s="861">
        <f t="shared" si="5"/>
        <v>10</v>
      </c>
      <c r="J62" s="861">
        <f t="shared" si="6"/>
        <v>10</v>
      </c>
      <c r="K62" s="861">
        <f t="shared" si="7"/>
        <v>10</v>
      </c>
      <c r="M62" s="702" t="b">
        <f t="shared" si="8"/>
        <v>0</v>
      </c>
      <c r="N62" s="703" t="b">
        <f t="shared" si="0"/>
        <v>1</v>
      </c>
      <c r="O62" s="703" t="b">
        <f t="shared" si="1"/>
        <v>0</v>
      </c>
      <c r="P62" s="895" t="b">
        <f t="shared" si="2"/>
        <v>0</v>
      </c>
      <c r="Q62" s="703" t="str">
        <f t="shared" si="3"/>
        <v>Biofuel</v>
      </c>
      <c r="R62" s="821">
        <f t="shared" si="4"/>
        <v>0.5</v>
      </c>
      <c r="S62" s="897"/>
      <c r="T62" s="925"/>
      <c r="U62" s="746"/>
    </row>
    <row r="63" spans="1:21" x14ac:dyDescent="0.25">
      <c r="C63" s="704" t="s">
        <v>2107</v>
      </c>
      <c r="D63" s="705" t="b">
        <v>0</v>
      </c>
      <c r="E63" s="700" t="s">
        <v>2111</v>
      </c>
      <c r="F63" s="706">
        <v>60</v>
      </c>
      <c r="G63" s="859">
        <v>0.5</v>
      </c>
      <c r="H63" s="859">
        <v>0.5</v>
      </c>
      <c r="I63" s="861">
        <f t="shared" si="5"/>
        <v>30</v>
      </c>
      <c r="J63" s="861">
        <f t="shared" si="6"/>
        <v>30</v>
      </c>
      <c r="K63" s="861">
        <f t="shared" si="7"/>
        <v>30</v>
      </c>
      <c r="M63" s="702" t="b">
        <f t="shared" si="8"/>
        <v>0</v>
      </c>
      <c r="N63" s="703" t="b">
        <f t="shared" si="0"/>
        <v>1</v>
      </c>
      <c r="O63" s="703" t="b">
        <f t="shared" si="1"/>
        <v>0</v>
      </c>
      <c r="P63" s="895" t="b">
        <f t="shared" si="2"/>
        <v>0</v>
      </c>
      <c r="Q63" s="703" t="str">
        <f t="shared" si="3"/>
        <v>Biofuel</v>
      </c>
      <c r="R63" s="821">
        <f t="shared" si="4"/>
        <v>0.5</v>
      </c>
      <c r="S63" s="897"/>
      <c r="T63" s="925"/>
      <c r="U63" s="746"/>
    </row>
    <row r="64" spans="1:21" x14ac:dyDescent="0.25">
      <c r="C64" s="704" t="s">
        <v>2109</v>
      </c>
      <c r="D64" s="705" t="b">
        <v>0</v>
      </c>
      <c r="E64" s="700" t="s">
        <v>2111</v>
      </c>
      <c r="F64" s="706">
        <v>100</v>
      </c>
      <c r="G64" s="859">
        <v>0.1</v>
      </c>
      <c r="H64" s="859">
        <v>0.2</v>
      </c>
      <c r="I64" s="861">
        <f t="shared" si="5"/>
        <v>10</v>
      </c>
      <c r="J64" s="861">
        <f t="shared" si="6"/>
        <v>10</v>
      </c>
      <c r="K64" s="861">
        <f t="shared" si="7"/>
        <v>20</v>
      </c>
      <c r="M64" s="702" t="b">
        <f t="shared" si="8"/>
        <v>0</v>
      </c>
      <c r="N64" s="703" t="b">
        <f t="shared" si="0"/>
        <v>1</v>
      </c>
      <c r="O64" s="703" t="b">
        <f t="shared" si="1"/>
        <v>0</v>
      </c>
      <c r="P64" s="895" t="b">
        <f t="shared" si="2"/>
        <v>0</v>
      </c>
      <c r="Q64" s="703" t="str">
        <f t="shared" si="3"/>
        <v>Biofuel</v>
      </c>
      <c r="R64" s="821">
        <f t="shared" si="4"/>
        <v>0.5</v>
      </c>
      <c r="S64" s="897"/>
      <c r="T64" s="925"/>
      <c r="U64" s="746"/>
    </row>
    <row r="65" spans="3:21" x14ac:dyDescent="0.25">
      <c r="C65" s="704" t="s">
        <v>2114</v>
      </c>
      <c r="D65" s="705" t="b">
        <v>1</v>
      </c>
      <c r="E65" s="700" t="s">
        <v>2111</v>
      </c>
      <c r="F65" s="706">
        <v>100</v>
      </c>
      <c r="G65" s="859">
        <v>0.1</v>
      </c>
      <c r="H65" s="859">
        <v>0.7</v>
      </c>
      <c r="I65" s="861">
        <f t="shared" si="5"/>
        <v>10</v>
      </c>
      <c r="J65" s="861">
        <f t="shared" si="6"/>
        <v>10</v>
      </c>
      <c r="K65" s="861">
        <f t="shared" si="7"/>
        <v>70</v>
      </c>
      <c r="M65" s="702" t="b">
        <f t="shared" si="8"/>
        <v>0</v>
      </c>
      <c r="N65" s="703" t="b">
        <f t="shared" si="0"/>
        <v>1</v>
      </c>
      <c r="O65" s="703" t="b">
        <f t="shared" si="1"/>
        <v>0</v>
      </c>
      <c r="P65" s="895" t="b">
        <f t="shared" si="2"/>
        <v>0</v>
      </c>
      <c r="Q65" s="703" t="str">
        <f t="shared" si="3"/>
        <v>Biofuel</v>
      </c>
      <c r="R65" s="821">
        <f t="shared" si="4"/>
        <v>1</v>
      </c>
      <c r="S65" s="897"/>
      <c r="T65" s="925"/>
      <c r="U65" s="746"/>
    </row>
    <row r="66" spans="3:21" x14ac:dyDescent="0.25">
      <c r="C66" s="704"/>
      <c r="D66" s="705"/>
      <c r="E66" s="700"/>
      <c r="F66" s="706"/>
      <c r="G66" s="859"/>
      <c r="H66" s="859"/>
      <c r="I66" s="861" t="str">
        <f t="shared" si="5"/>
        <v/>
      </c>
      <c r="J66" s="861" t="str">
        <f t="shared" si="6"/>
        <v/>
      </c>
      <c r="K66" s="861" t="str">
        <f t="shared" si="7"/>
        <v/>
      </c>
      <c r="M66" s="702" t="str">
        <f t="shared" si="8"/>
        <v/>
      </c>
      <c r="N66" s="703" t="str">
        <f t="shared" si="0"/>
        <v/>
      </c>
      <c r="O66" s="703" t="str">
        <f t="shared" si="1"/>
        <v/>
      </c>
      <c r="P66" s="895" t="str">
        <f t="shared" si="2"/>
        <v/>
      </c>
      <c r="Q66" s="703" t="str">
        <f t="shared" si="3"/>
        <v/>
      </c>
      <c r="R66" s="821" t="str">
        <f t="shared" si="4"/>
        <v/>
      </c>
      <c r="S66" s="897"/>
      <c r="T66" s="925"/>
      <c r="U66" s="746"/>
    </row>
    <row r="67" spans="3:21" x14ac:dyDescent="0.25">
      <c r="C67" s="704"/>
      <c r="D67" s="705"/>
      <c r="E67" s="700"/>
      <c r="F67" s="706"/>
      <c r="G67" s="859"/>
      <c r="H67" s="859"/>
      <c r="I67" s="861" t="str">
        <f t="shared" si="5"/>
        <v/>
      </c>
      <c r="J67" s="861" t="str">
        <f t="shared" si="6"/>
        <v/>
      </c>
      <c r="K67" s="861" t="str">
        <f t="shared" si="7"/>
        <v/>
      </c>
      <c r="M67" s="702" t="str">
        <f t="shared" si="8"/>
        <v/>
      </c>
      <c r="N67" s="703" t="str">
        <f t="shared" si="0"/>
        <v/>
      </c>
      <c r="O67" s="703" t="str">
        <f t="shared" si="1"/>
        <v/>
      </c>
      <c r="P67" s="895" t="str">
        <f t="shared" si="2"/>
        <v/>
      </c>
      <c r="Q67" s="703" t="str">
        <f t="shared" si="3"/>
        <v/>
      </c>
      <c r="R67" s="821" t="str">
        <f t="shared" si="4"/>
        <v/>
      </c>
      <c r="S67" s="897"/>
      <c r="T67" s="925"/>
      <c r="U67" s="746"/>
    </row>
    <row r="68" spans="3:21" x14ac:dyDescent="0.25">
      <c r="C68" s="704"/>
      <c r="D68" s="705"/>
      <c r="E68" s="700"/>
      <c r="F68" s="706"/>
      <c r="G68" s="859"/>
      <c r="H68" s="859"/>
      <c r="I68" s="861" t="str">
        <f t="shared" si="5"/>
        <v/>
      </c>
      <c r="J68" s="861" t="str">
        <f t="shared" si="6"/>
        <v/>
      </c>
      <c r="K68" s="861" t="str">
        <f t="shared" si="7"/>
        <v/>
      </c>
      <c r="M68" s="702" t="str">
        <f t="shared" si="8"/>
        <v/>
      </c>
      <c r="N68" s="703" t="str">
        <f t="shared" si="0"/>
        <v/>
      </c>
      <c r="O68" s="703" t="str">
        <f t="shared" si="1"/>
        <v/>
      </c>
      <c r="P68" s="895" t="str">
        <f t="shared" si="2"/>
        <v/>
      </c>
      <c r="Q68" s="703" t="str">
        <f t="shared" si="3"/>
        <v/>
      </c>
      <c r="R68" s="821" t="str">
        <f t="shared" si="4"/>
        <v/>
      </c>
      <c r="S68" s="897"/>
      <c r="T68" s="925"/>
      <c r="U68" s="746"/>
    </row>
    <row r="69" spans="3:21" x14ac:dyDescent="0.25">
      <c r="C69" s="704"/>
      <c r="D69" s="705"/>
      <c r="E69" s="700"/>
      <c r="F69" s="706"/>
      <c r="G69" s="859"/>
      <c r="H69" s="859"/>
      <c r="I69" s="861" t="str">
        <f t="shared" si="5"/>
        <v/>
      </c>
      <c r="J69" s="861" t="str">
        <f t="shared" si="6"/>
        <v/>
      </c>
      <c r="K69" s="861" t="str">
        <f t="shared" si="7"/>
        <v/>
      </c>
      <c r="M69" s="702" t="str">
        <f t="shared" si="8"/>
        <v/>
      </c>
      <c r="N69" s="703" t="str">
        <f t="shared" si="0"/>
        <v/>
      </c>
      <c r="O69" s="703" t="str">
        <f t="shared" si="1"/>
        <v/>
      </c>
      <c r="P69" s="895" t="str">
        <f t="shared" si="2"/>
        <v/>
      </c>
      <c r="Q69" s="703" t="str">
        <f t="shared" si="3"/>
        <v/>
      </c>
      <c r="R69" s="821" t="str">
        <f t="shared" si="4"/>
        <v/>
      </c>
      <c r="S69" s="897"/>
      <c r="T69" s="925"/>
      <c r="U69" s="746"/>
    </row>
    <row r="70" spans="3:21" x14ac:dyDescent="0.25">
      <c r="C70" s="704"/>
      <c r="D70" s="705"/>
      <c r="E70" s="700"/>
      <c r="F70" s="706"/>
      <c r="G70" s="859"/>
      <c r="H70" s="859"/>
      <c r="I70" s="861" t="str">
        <f t="shared" si="5"/>
        <v/>
      </c>
      <c r="J70" s="861" t="str">
        <f t="shared" si="6"/>
        <v/>
      </c>
      <c r="K70" s="861" t="str">
        <f t="shared" si="7"/>
        <v/>
      </c>
      <c r="M70" s="702" t="str">
        <f t="shared" si="8"/>
        <v/>
      </c>
      <c r="N70" s="703" t="str">
        <f t="shared" si="0"/>
        <v/>
      </c>
      <c r="O70" s="703" t="str">
        <f t="shared" si="1"/>
        <v/>
      </c>
      <c r="P70" s="895" t="str">
        <f t="shared" si="2"/>
        <v/>
      </c>
      <c r="Q70" s="703" t="str">
        <f t="shared" si="3"/>
        <v/>
      </c>
      <c r="R70" s="821" t="str">
        <f t="shared" si="4"/>
        <v/>
      </c>
      <c r="S70" s="897"/>
      <c r="T70" s="925"/>
      <c r="U70" s="746"/>
    </row>
    <row r="71" spans="3:21" x14ac:dyDescent="0.25">
      <c r="C71" s="704"/>
      <c r="D71" s="705"/>
      <c r="E71" s="700"/>
      <c r="F71" s="706"/>
      <c r="G71" s="859"/>
      <c r="H71" s="859"/>
      <c r="I71" s="861" t="str">
        <f t="shared" si="5"/>
        <v/>
      </c>
      <c r="J71" s="861" t="str">
        <f t="shared" si="6"/>
        <v/>
      </c>
      <c r="K71" s="861" t="str">
        <f t="shared" si="7"/>
        <v/>
      </c>
      <c r="M71" s="702" t="str">
        <f t="shared" si="8"/>
        <v/>
      </c>
      <c r="N71" s="703" t="str">
        <f t="shared" si="0"/>
        <v/>
      </c>
      <c r="O71" s="703" t="str">
        <f t="shared" si="1"/>
        <v/>
      </c>
      <c r="P71" s="895" t="str">
        <f t="shared" si="2"/>
        <v/>
      </c>
      <c r="Q71" s="703" t="str">
        <f t="shared" si="3"/>
        <v/>
      </c>
      <c r="R71" s="821" t="str">
        <f t="shared" si="4"/>
        <v/>
      </c>
      <c r="S71" s="897"/>
      <c r="T71" s="925"/>
      <c r="U71" s="746"/>
    </row>
    <row r="72" spans="3:21" x14ac:dyDescent="0.25">
      <c r="C72" s="704"/>
      <c r="D72" s="705"/>
      <c r="E72" s="700"/>
      <c r="F72" s="706"/>
      <c r="G72" s="859"/>
      <c r="H72" s="859"/>
      <c r="I72" s="861" t="str">
        <f t="shared" si="5"/>
        <v/>
      </c>
      <c r="J72" s="861" t="str">
        <f t="shared" si="6"/>
        <v/>
      </c>
      <c r="K72" s="861" t="str">
        <f t="shared" si="7"/>
        <v/>
      </c>
      <c r="M72" s="702" t="str">
        <f t="shared" si="8"/>
        <v/>
      </c>
      <c r="N72" s="703" t="str">
        <f t="shared" si="0"/>
        <v/>
      </c>
      <c r="O72" s="703" t="str">
        <f t="shared" si="1"/>
        <v/>
      </c>
      <c r="P72" s="895" t="str">
        <f t="shared" si="2"/>
        <v/>
      </c>
      <c r="Q72" s="703" t="str">
        <f t="shared" si="3"/>
        <v/>
      </c>
      <c r="R72" s="821" t="str">
        <f t="shared" si="4"/>
        <v/>
      </c>
      <c r="S72" s="897"/>
      <c r="T72" s="925"/>
      <c r="U72" s="746"/>
    </row>
    <row r="73" spans="3:21" x14ac:dyDescent="0.25">
      <c r="C73" s="704"/>
      <c r="D73" s="705"/>
      <c r="E73" s="700"/>
      <c r="F73" s="706"/>
      <c r="G73" s="859"/>
      <c r="H73" s="859"/>
      <c r="I73" s="861" t="str">
        <f t="shared" si="5"/>
        <v/>
      </c>
      <c r="J73" s="861" t="str">
        <f t="shared" si="6"/>
        <v/>
      </c>
      <c r="K73" s="861" t="str">
        <f t="shared" si="7"/>
        <v/>
      </c>
      <c r="M73" s="702" t="str">
        <f t="shared" si="8"/>
        <v/>
      </c>
      <c r="N73" s="703" t="str">
        <f t="shared" si="0"/>
        <v/>
      </c>
      <c r="O73" s="703" t="str">
        <f t="shared" si="1"/>
        <v/>
      </c>
      <c r="P73" s="895" t="str">
        <f t="shared" si="2"/>
        <v/>
      </c>
      <c r="Q73" s="703" t="str">
        <f t="shared" si="3"/>
        <v/>
      </c>
      <c r="R73" s="821" t="str">
        <f t="shared" si="4"/>
        <v/>
      </c>
      <c r="S73" s="897"/>
      <c r="T73" s="925"/>
      <c r="U73" s="746"/>
    </row>
    <row r="74" spans="3:21" x14ac:dyDescent="0.25">
      <c r="C74" s="704"/>
      <c r="D74" s="705"/>
      <c r="E74" s="700"/>
      <c r="F74" s="706"/>
      <c r="G74" s="859"/>
      <c r="H74" s="859"/>
      <c r="I74" s="861" t="str">
        <f t="shared" si="5"/>
        <v/>
      </c>
      <c r="J74" s="861" t="str">
        <f t="shared" si="6"/>
        <v/>
      </c>
      <c r="K74" s="861" t="str">
        <f t="shared" si="7"/>
        <v/>
      </c>
      <c r="M74" s="702" t="str">
        <f t="shared" si="8"/>
        <v/>
      </c>
      <c r="N74" s="703" t="str">
        <f t="shared" si="0"/>
        <v/>
      </c>
      <c r="O74" s="703" t="str">
        <f t="shared" si="1"/>
        <v/>
      </c>
      <c r="P74" s="895" t="str">
        <f t="shared" si="2"/>
        <v/>
      </c>
      <c r="Q74" s="703" t="str">
        <f t="shared" si="3"/>
        <v/>
      </c>
      <c r="R74" s="821" t="str">
        <f t="shared" si="4"/>
        <v/>
      </c>
      <c r="S74" s="897"/>
      <c r="T74" s="925"/>
      <c r="U74" s="746"/>
    </row>
    <row r="75" spans="3:21" x14ac:dyDescent="0.25">
      <c r="C75" s="704"/>
      <c r="D75" s="705"/>
      <c r="E75" s="700"/>
      <c r="F75" s="706"/>
      <c r="G75" s="859"/>
      <c r="H75" s="859"/>
      <c r="I75" s="861" t="str">
        <f t="shared" si="5"/>
        <v/>
      </c>
      <c r="J75" s="861" t="str">
        <f t="shared" si="6"/>
        <v/>
      </c>
      <c r="K75" s="861" t="str">
        <f t="shared" si="7"/>
        <v/>
      </c>
      <c r="M75" s="702" t="str">
        <f t="shared" si="8"/>
        <v/>
      </c>
      <c r="N75" s="703" t="str">
        <f t="shared" si="0"/>
        <v/>
      </c>
      <c r="O75" s="703" t="str">
        <f t="shared" si="1"/>
        <v/>
      </c>
      <c r="P75" s="895" t="str">
        <f t="shared" si="2"/>
        <v/>
      </c>
      <c r="Q75" s="703" t="str">
        <f t="shared" si="3"/>
        <v/>
      </c>
      <c r="R75" s="821" t="str">
        <f t="shared" si="4"/>
        <v/>
      </c>
      <c r="S75" s="897"/>
      <c r="T75" s="925"/>
      <c r="U75" s="746"/>
    </row>
    <row r="76" spans="3:21" x14ac:dyDescent="0.25">
      <c r="C76" s="704"/>
      <c r="D76" s="705"/>
      <c r="E76" s="700"/>
      <c r="F76" s="706"/>
      <c r="G76" s="859"/>
      <c r="H76" s="859"/>
      <c r="I76" s="861" t="str">
        <f t="shared" si="5"/>
        <v/>
      </c>
      <c r="J76" s="861" t="str">
        <f t="shared" si="6"/>
        <v/>
      </c>
      <c r="K76" s="861" t="str">
        <f t="shared" si="7"/>
        <v/>
      </c>
      <c r="M76" s="702" t="str">
        <f t="shared" si="8"/>
        <v/>
      </c>
      <c r="N76" s="703" t="str">
        <f t="shared" si="0"/>
        <v/>
      </c>
      <c r="O76" s="703" t="str">
        <f t="shared" si="1"/>
        <v/>
      </c>
      <c r="P76" s="895" t="str">
        <f t="shared" si="2"/>
        <v/>
      </c>
      <c r="Q76" s="703" t="str">
        <f t="shared" si="3"/>
        <v/>
      </c>
      <c r="R76" s="821" t="str">
        <f t="shared" si="4"/>
        <v/>
      </c>
      <c r="S76" s="897"/>
      <c r="T76" s="925"/>
      <c r="U76" s="746"/>
    </row>
    <row r="77" spans="3:21" x14ac:dyDescent="0.25">
      <c r="C77" s="704"/>
      <c r="D77" s="705"/>
      <c r="E77" s="700"/>
      <c r="F77" s="706"/>
      <c r="G77" s="859"/>
      <c r="H77" s="859"/>
      <c r="I77" s="861" t="str">
        <f t="shared" si="5"/>
        <v/>
      </c>
      <c r="J77" s="861" t="str">
        <f t="shared" si="6"/>
        <v/>
      </c>
      <c r="K77" s="861" t="str">
        <f t="shared" si="7"/>
        <v/>
      </c>
      <c r="M77" s="702" t="str">
        <f t="shared" si="8"/>
        <v/>
      </c>
      <c r="N77" s="703" t="str">
        <f t="shared" si="0"/>
        <v/>
      </c>
      <c r="O77" s="703" t="str">
        <f t="shared" si="1"/>
        <v/>
      </c>
      <c r="P77" s="895" t="str">
        <f t="shared" si="2"/>
        <v/>
      </c>
      <c r="Q77" s="703" t="str">
        <f t="shared" si="3"/>
        <v/>
      </c>
      <c r="R77" s="821" t="str">
        <f t="shared" si="4"/>
        <v/>
      </c>
      <c r="S77" s="897"/>
      <c r="T77" s="925"/>
      <c r="U77" s="746"/>
    </row>
    <row r="78" spans="3:21" x14ac:dyDescent="0.25">
      <c r="C78" s="704"/>
      <c r="D78" s="705"/>
      <c r="E78" s="700"/>
      <c r="F78" s="706"/>
      <c r="G78" s="859"/>
      <c r="H78" s="859"/>
      <c r="I78" s="861" t="str">
        <f t="shared" si="5"/>
        <v/>
      </c>
      <c r="J78" s="861" t="str">
        <f t="shared" si="6"/>
        <v/>
      </c>
      <c r="K78" s="861" t="str">
        <f t="shared" si="7"/>
        <v/>
      </c>
      <c r="M78" s="702" t="str">
        <f t="shared" si="8"/>
        <v/>
      </c>
      <c r="N78" s="703" t="str">
        <f t="shared" si="0"/>
        <v/>
      </c>
      <c r="O78" s="703" t="str">
        <f t="shared" si="1"/>
        <v/>
      </c>
      <c r="P78" s="895" t="str">
        <f t="shared" si="2"/>
        <v/>
      </c>
      <c r="Q78" s="703" t="str">
        <f t="shared" si="3"/>
        <v/>
      </c>
      <c r="R78" s="821" t="str">
        <f t="shared" si="4"/>
        <v/>
      </c>
      <c r="S78" s="897"/>
      <c r="T78" s="925"/>
      <c r="U78" s="746"/>
    </row>
    <row r="79" spans="3:21" x14ac:dyDescent="0.25">
      <c r="C79" s="704"/>
      <c r="D79" s="705"/>
      <c r="E79" s="700"/>
      <c r="F79" s="706"/>
      <c r="G79" s="859"/>
      <c r="H79" s="859"/>
      <c r="I79" s="861" t="str">
        <f t="shared" si="5"/>
        <v/>
      </c>
      <c r="J79" s="861" t="str">
        <f t="shared" si="6"/>
        <v/>
      </c>
      <c r="K79" s="861" t="str">
        <f t="shared" si="7"/>
        <v/>
      </c>
      <c r="M79" s="702" t="str">
        <f t="shared" si="8"/>
        <v/>
      </c>
      <c r="N79" s="703" t="str">
        <f t="shared" si="0"/>
        <v/>
      </c>
      <c r="O79" s="703" t="str">
        <f t="shared" si="1"/>
        <v/>
      </c>
      <c r="P79" s="895" t="str">
        <f t="shared" si="2"/>
        <v/>
      </c>
      <c r="Q79" s="703" t="str">
        <f t="shared" si="3"/>
        <v/>
      </c>
      <c r="R79" s="821" t="str">
        <f t="shared" si="4"/>
        <v/>
      </c>
      <c r="S79" s="897"/>
      <c r="T79" s="925"/>
      <c r="U79" s="746"/>
    </row>
    <row r="80" spans="3:21" x14ac:dyDescent="0.25">
      <c r="C80" s="704"/>
      <c r="D80" s="705"/>
      <c r="E80" s="700"/>
      <c r="F80" s="706"/>
      <c r="G80" s="859"/>
      <c r="H80" s="859"/>
      <c r="I80" s="861" t="str">
        <f t="shared" si="5"/>
        <v/>
      </c>
      <c r="J80" s="861" t="str">
        <f t="shared" si="6"/>
        <v/>
      </c>
      <c r="K80" s="861" t="str">
        <f t="shared" si="7"/>
        <v/>
      </c>
      <c r="M80" s="702" t="str">
        <f t="shared" si="8"/>
        <v/>
      </c>
      <c r="N80" s="703" t="str">
        <f t="shared" si="0"/>
        <v/>
      </c>
      <c r="O80" s="703" t="str">
        <f t="shared" si="1"/>
        <v/>
      </c>
      <c r="P80" s="895" t="str">
        <f t="shared" si="2"/>
        <v/>
      </c>
      <c r="Q80" s="703" t="str">
        <f t="shared" si="3"/>
        <v/>
      </c>
      <c r="R80" s="821" t="str">
        <f t="shared" si="4"/>
        <v/>
      </c>
      <c r="S80" s="897"/>
      <c r="T80" s="925"/>
      <c r="U80" s="746"/>
    </row>
    <row r="81" spans="3:21" x14ac:dyDescent="0.25">
      <c r="C81" s="704"/>
      <c r="D81" s="705"/>
      <c r="E81" s="700"/>
      <c r="F81" s="706"/>
      <c r="G81" s="859"/>
      <c r="H81" s="859"/>
      <c r="I81" s="861" t="str">
        <f t="shared" si="5"/>
        <v/>
      </c>
      <c r="J81" s="861" t="str">
        <f t="shared" si="6"/>
        <v/>
      </c>
      <c r="K81" s="861" t="str">
        <f t="shared" si="7"/>
        <v/>
      </c>
      <c r="M81" s="702" t="str">
        <f t="shared" si="8"/>
        <v/>
      </c>
      <c r="N81" s="703" t="str">
        <f t="shared" si="0"/>
        <v/>
      </c>
      <c r="O81" s="703" t="str">
        <f t="shared" si="1"/>
        <v/>
      </c>
      <c r="P81" s="895" t="str">
        <f t="shared" si="2"/>
        <v/>
      </c>
      <c r="Q81" s="703" t="str">
        <f t="shared" si="3"/>
        <v/>
      </c>
      <c r="R81" s="821" t="str">
        <f t="shared" si="4"/>
        <v/>
      </c>
      <c r="S81" s="897"/>
      <c r="T81" s="925"/>
      <c r="U81" s="746"/>
    </row>
    <row r="82" spans="3:21" x14ac:dyDescent="0.25">
      <c r="C82" s="704"/>
      <c r="D82" s="705"/>
      <c r="E82" s="700"/>
      <c r="F82" s="706"/>
      <c r="G82" s="859"/>
      <c r="H82" s="859"/>
      <c r="I82" s="861" t="str">
        <f t="shared" si="5"/>
        <v/>
      </c>
      <c r="J82" s="861" t="str">
        <f t="shared" si="6"/>
        <v/>
      </c>
      <c r="K82" s="861" t="str">
        <f t="shared" si="7"/>
        <v/>
      </c>
      <c r="M82" s="702" t="str">
        <f t="shared" si="8"/>
        <v/>
      </c>
      <c r="N82" s="703" t="str">
        <f t="shared" si="0"/>
        <v/>
      </c>
      <c r="O82" s="703" t="str">
        <f t="shared" si="1"/>
        <v/>
      </c>
      <c r="P82" s="895" t="str">
        <f t="shared" si="2"/>
        <v/>
      </c>
      <c r="Q82" s="703" t="str">
        <f t="shared" si="3"/>
        <v/>
      </c>
      <c r="R82" s="821" t="str">
        <f t="shared" si="4"/>
        <v/>
      </c>
      <c r="S82" s="897"/>
      <c r="T82" s="925"/>
      <c r="U82" s="746"/>
    </row>
    <row r="83" spans="3:21" x14ac:dyDescent="0.25">
      <c r="C83" s="704"/>
      <c r="D83" s="705"/>
      <c r="E83" s="700"/>
      <c r="F83" s="706"/>
      <c r="G83" s="859"/>
      <c r="H83" s="859"/>
      <c r="I83" s="861" t="str">
        <f t="shared" si="5"/>
        <v/>
      </c>
      <c r="J83" s="861" t="str">
        <f t="shared" si="6"/>
        <v/>
      </c>
      <c r="K83" s="861" t="str">
        <f t="shared" si="7"/>
        <v/>
      </c>
      <c r="M83" s="702" t="str">
        <f t="shared" si="8"/>
        <v/>
      </c>
      <c r="N83" s="703" t="str">
        <f t="shared" si="0"/>
        <v/>
      </c>
      <c r="O83" s="703" t="str">
        <f t="shared" si="1"/>
        <v/>
      </c>
      <c r="P83" s="895" t="str">
        <f t="shared" si="2"/>
        <v/>
      </c>
      <c r="Q83" s="703" t="str">
        <f t="shared" si="3"/>
        <v/>
      </c>
      <c r="R83" s="821" t="str">
        <f t="shared" si="4"/>
        <v/>
      </c>
      <c r="S83" s="897"/>
      <c r="T83" s="925"/>
      <c r="U83" s="746"/>
    </row>
    <row r="84" spans="3:21" x14ac:dyDescent="0.25">
      <c r="C84" s="704"/>
      <c r="D84" s="705"/>
      <c r="E84" s="700"/>
      <c r="F84" s="706"/>
      <c r="G84" s="859"/>
      <c r="H84" s="859"/>
      <c r="I84" s="861" t="str">
        <f t="shared" si="5"/>
        <v/>
      </c>
      <c r="J84" s="861" t="str">
        <f t="shared" si="6"/>
        <v/>
      </c>
      <c r="K84" s="861" t="str">
        <f t="shared" si="7"/>
        <v/>
      </c>
      <c r="M84" s="702" t="str">
        <f t="shared" si="8"/>
        <v/>
      </c>
      <c r="N84" s="703" t="str">
        <f t="shared" si="0"/>
        <v/>
      </c>
      <c r="O84" s="703" t="str">
        <f t="shared" si="1"/>
        <v/>
      </c>
      <c r="P84" s="895" t="str">
        <f t="shared" si="2"/>
        <v/>
      </c>
      <c r="Q84" s="703" t="str">
        <f t="shared" si="3"/>
        <v/>
      </c>
      <c r="R84" s="821" t="str">
        <f t="shared" si="4"/>
        <v/>
      </c>
      <c r="S84" s="897"/>
      <c r="T84" s="925"/>
      <c r="U84" s="746"/>
    </row>
    <row r="85" spans="3:21" x14ac:dyDescent="0.25">
      <c r="C85" s="704"/>
      <c r="D85" s="705"/>
      <c r="E85" s="700"/>
      <c r="F85" s="706"/>
      <c r="G85" s="859"/>
      <c r="H85" s="859"/>
      <c r="I85" s="861" t="str">
        <f t="shared" si="5"/>
        <v/>
      </c>
      <c r="J85" s="861" t="str">
        <f t="shared" si="6"/>
        <v/>
      </c>
      <c r="K85" s="861" t="str">
        <f t="shared" si="7"/>
        <v/>
      </c>
      <c r="M85" s="702" t="str">
        <f t="shared" si="8"/>
        <v/>
      </c>
      <c r="N85" s="703" t="str">
        <f t="shared" si="0"/>
        <v/>
      </c>
      <c r="O85" s="703" t="str">
        <f t="shared" si="1"/>
        <v/>
      </c>
      <c r="P85" s="895" t="str">
        <f t="shared" si="2"/>
        <v/>
      </c>
      <c r="Q85" s="703" t="str">
        <f t="shared" si="3"/>
        <v/>
      </c>
      <c r="R85" s="821" t="str">
        <f t="shared" si="4"/>
        <v/>
      </c>
      <c r="S85" s="897"/>
      <c r="T85" s="925"/>
      <c r="U85" s="746"/>
    </row>
    <row r="86" spans="3:21" x14ac:dyDescent="0.25">
      <c r="C86" s="704"/>
      <c r="D86" s="705"/>
      <c r="E86" s="700"/>
      <c r="F86" s="706"/>
      <c r="G86" s="859"/>
      <c r="H86" s="859"/>
      <c r="I86" s="861" t="str">
        <f t="shared" si="5"/>
        <v/>
      </c>
      <c r="J86" s="861" t="str">
        <f t="shared" si="6"/>
        <v/>
      </c>
      <c r="K86" s="861" t="str">
        <f t="shared" si="7"/>
        <v/>
      </c>
      <c r="M86" s="702" t="str">
        <f t="shared" si="8"/>
        <v/>
      </c>
      <c r="N86" s="703" t="str">
        <f t="shared" si="0"/>
        <v/>
      </c>
      <c r="O86" s="703" t="str">
        <f t="shared" si="1"/>
        <v/>
      </c>
      <c r="P86" s="895" t="str">
        <f t="shared" si="2"/>
        <v/>
      </c>
      <c r="Q86" s="703" t="str">
        <f t="shared" si="3"/>
        <v/>
      </c>
      <c r="R86" s="821" t="str">
        <f t="shared" si="4"/>
        <v/>
      </c>
      <c r="S86" s="897"/>
      <c r="T86" s="925"/>
      <c r="U86" s="746"/>
    </row>
    <row r="87" spans="3:21" x14ac:dyDescent="0.25">
      <c r="C87" s="704"/>
      <c r="D87" s="705"/>
      <c r="E87" s="700"/>
      <c r="F87" s="706"/>
      <c r="G87" s="859"/>
      <c r="H87" s="859"/>
      <c r="I87" s="861" t="str">
        <f t="shared" si="5"/>
        <v/>
      </c>
      <c r="J87" s="861" t="str">
        <f t="shared" si="6"/>
        <v/>
      </c>
      <c r="K87" s="861" t="str">
        <f t="shared" si="7"/>
        <v/>
      </c>
      <c r="M87" s="702" t="str">
        <f t="shared" si="8"/>
        <v/>
      </c>
      <c r="N87" s="703" t="str">
        <f t="shared" si="0"/>
        <v/>
      </c>
      <c r="O87" s="703" t="str">
        <f t="shared" si="1"/>
        <v/>
      </c>
      <c r="P87" s="895" t="str">
        <f t="shared" si="2"/>
        <v/>
      </c>
      <c r="Q87" s="703" t="str">
        <f t="shared" si="3"/>
        <v/>
      </c>
      <c r="R87" s="821" t="str">
        <f t="shared" si="4"/>
        <v/>
      </c>
      <c r="S87" s="897"/>
      <c r="T87" s="925"/>
      <c r="U87" s="746"/>
    </row>
    <row r="88" spans="3:21" x14ac:dyDescent="0.25">
      <c r="C88" s="704"/>
      <c r="D88" s="705"/>
      <c r="E88" s="700"/>
      <c r="F88" s="706"/>
      <c r="G88" s="859"/>
      <c r="H88" s="859"/>
      <c r="I88" s="861" t="str">
        <f t="shared" si="5"/>
        <v/>
      </c>
      <c r="J88" s="861" t="str">
        <f t="shared" si="6"/>
        <v/>
      </c>
      <c r="K88" s="861" t="str">
        <f t="shared" si="7"/>
        <v/>
      </c>
      <c r="M88" s="702" t="str">
        <f t="shared" si="8"/>
        <v/>
      </c>
      <c r="N88" s="703" t="str">
        <f t="shared" si="0"/>
        <v/>
      </c>
      <c r="O88" s="703" t="str">
        <f t="shared" si="1"/>
        <v/>
      </c>
      <c r="P88" s="895" t="str">
        <f t="shared" si="2"/>
        <v/>
      </c>
      <c r="Q88" s="703" t="str">
        <f t="shared" si="3"/>
        <v/>
      </c>
      <c r="R88" s="821" t="str">
        <f t="shared" si="4"/>
        <v/>
      </c>
      <c r="S88" s="897"/>
      <c r="T88" s="925"/>
      <c r="U88" s="746"/>
    </row>
    <row r="89" spans="3:21" x14ac:dyDescent="0.25">
      <c r="C89" s="704"/>
      <c r="D89" s="705"/>
      <c r="E89" s="700"/>
      <c r="F89" s="706"/>
      <c r="G89" s="859"/>
      <c r="H89" s="859"/>
      <c r="I89" s="861" t="str">
        <f t="shared" si="5"/>
        <v/>
      </c>
      <c r="J89" s="861" t="str">
        <f t="shared" si="6"/>
        <v/>
      </c>
      <c r="K89" s="861" t="str">
        <f t="shared" si="7"/>
        <v/>
      </c>
      <c r="M89" s="702" t="str">
        <f t="shared" si="8"/>
        <v/>
      </c>
      <c r="N89" s="703" t="str">
        <f t="shared" si="0"/>
        <v/>
      </c>
      <c r="O89" s="703" t="str">
        <f t="shared" si="1"/>
        <v/>
      </c>
      <c r="P89" s="895" t="str">
        <f t="shared" si="2"/>
        <v/>
      </c>
      <c r="Q89" s="703" t="str">
        <f t="shared" si="3"/>
        <v/>
      </c>
      <c r="R89" s="821" t="str">
        <f t="shared" si="4"/>
        <v/>
      </c>
      <c r="S89" s="897"/>
      <c r="T89" s="925"/>
      <c r="U89" s="746"/>
    </row>
    <row r="90" spans="3:21" x14ac:dyDescent="0.25">
      <c r="C90" s="704"/>
      <c r="D90" s="705"/>
      <c r="E90" s="700"/>
      <c r="F90" s="706"/>
      <c r="G90" s="859"/>
      <c r="H90" s="859"/>
      <c r="I90" s="861" t="str">
        <f t="shared" si="5"/>
        <v/>
      </c>
      <c r="J90" s="861" t="str">
        <f t="shared" si="6"/>
        <v/>
      </c>
      <c r="K90" s="861" t="str">
        <f t="shared" si="7"/>
        <v/>
      </c>
      <c r="M90" s="702" t="str">
        <f t="shared" si="8"/>
        <v/>
      </c>
      <c r="N90" s="703" t="str">
        <f t="shared" si="0"/>
        <v/>
      </c>
      <c r="O90" s="703" t="str">
        <f t="shared" si="1"/>
        <v/>
      </c>
      <c r="P90" s="895" t="str">
        <f t="shared" si="2"/>
        <v/>
      </c>
      <c r="Q90" s="703" t="str">
        <f t="shared" si="3"/>
        <v/>
      </c>
      <c r="R90" s="821" t="str">
        <f t="shared" si="4"/>
        <v/>
      </c>
      <c r="S90" s="897"/>
      <c r="T90" s="925"/>
      <c r="U90" s="746"/>
    </row>
    <row r="91" spans="3:21" x14ac:dyDescent="0.25">
      <c r="C91" s="704"/>
      <c r="D91" s="705"/>
      <c r="E91" s="700"/>
      <c r="F91" s="706"/>
      <c r="G91" s="859"/>
      <c r="H91" s="859"/>
      <c r="I91" s="861" t="str">
        <f t="shared" si="5"/>
        <v/>
      </c>
      <c r="J91" s="861" t="str">
        <f t="shared" si="6"/>
        <v/>
      </c>
      <c r="K91" s="861" t="str">
        <f t="shared" si="7"/>
        <v/>
      </c>
      <c r="M91" s="702" t="str">
        <f t="shared" si="8"/>
        <v/>
      </c>
      <c r="N91" s="703" t="str">
        <f t="shared" ref="N91:N122" si="9">IFERROR(INDEX(CNTR_FuelListIsZero, MATCH(E91, CNTR_FuelListNames, 0)),"")</f>
        <v/>
      </c>
      <c r="O91" s="703" t="str">
        <f t="shared" ref="O91:O122" si="10">IF(E91="","",IFERROR(NOT(ISNUMBER(INDEX(CNTR_FuelListSupportRate, MATCH(E91, CNTR_FuelListNames, 0)))),  ""))</f>
        <v/>
      </c>
      <c r="P91" s="895" t="str">
        <f t="shared" ref="P91:P122" si="11">IFERROR( OR( INDEX(CNTR_FuelListCompleteData, MATCH(E91, CNTR_FuelListNames, 0)) = FALSE,   INDEX(CNTR_FuelListIsFossil, MATCH(E91, CNTR_FuelListNames, 0)) = TRUE),  "")</f>
        <v/>
      </c>
      <c r="Q91" s="703" t="str">
        <f t="shared" ref="Q91:Q122" si="12">IFERROR(IF(INDEX(CNTR_FuelListSubType, MATCH(E91, CNTR_FuelListNames, 0)) = "",  "",  INDEX(CNTR_FuelListSubType, MATCH(E91, CNTR_FuelListNames, 0))),  "")</f>
        <v/>
      </c>
      <c r="R91" s="821" t="str">
        <f t="shared" ref="R91:R122" si="13">IFERROR(IF( AND(D91=TRUE, ISNUMBER(INDEX(CNTR_FuelListSupportRate, MATCH( E91, CNTR_FuelListNames, 0)))),   1,   INDEX(CNTR_FuelListSupportRate, MATCH(E91, CNTR_FuelListNames, 0))),  "")</f>
        <v/>
      </c>
      <c r="S91" s="897"/>
      <c r="T91" s="925"/>
      <c r="U91" s="746"/>
    </row>
    <row r="92" spans="3:21" x14ac:dyDescent="0.25">
      <c r="C92" s="704"/>
      <c r="D92" s="705"/>
      <c r="E92" s="700"/>
      <c r="F92" s="706"/>
      <c r="G92" s="859"/>
      <c r="H92" s="859"/>
      <c r="I92" s="861" t="str">
        <f t="shared" si="5"/>
        <v/>
      </c>
      <c r="J92" s="861" t="str">
        <f t="shared" si="6"/>
        <v/>
      </c>
      <c r="K92" s="861" t="str">
        <f t="shared" si="7"/>
        <v/>
      </c>
      <c r="M92" s="702" t="str">
        <f t="shared" si="8"/>
        <v/>
      </c>
      <c r="N92" s="703" t="str">
        <f t="shared" si="9"/>
        <v/>
      </c>
      <c r="O92" s="703" t="str">
        <f t="shared" si="10"/>
        <v/>
      </c>
      <c r="P92" s="895" t="str">
        <f t="shared" si="11"/>
        <v/>
      </c>
      <c r="Q92" s="703" t="str">
        <f t="shared" si="12"/>
        <v/>
      </c>
      <c r="R92" s="821" t="str">
        <f t="shared" si="13"/>
        <v/>
      </c>
      <c r="S92" s="897"/>
      <c r="T92" s="925"/>
      <c r="U92" s="746"/>
    </row>
    <row r="93" spans="3:21" x14ac:dyDescent="0.25">
      <c r="C93" s="704"/>
      <c r="D93" s="705"/>
      <c r="E93" s="700"/>
      <c r="F93" s="706"/>
      <c r="G93" s="859"/>
      <c r="H93" s="859"/>
      <c r="I93" s="861" t="str">
        <f t="shared" si="5"/>
        <v/>
      </c>
      <c r="J93" s="861" t="str">
        <f t="shared" si="6"/>
        <v/>
      </c>
      <c r="K93" s="861" t="str">
        <f t="shared" si="7"/>
        <v/>
      </c>
      <c r="M93" s="702" t="str">
        <f t="shared" si="8"/>
        <v/>
      </c>
      <c r="N93" s="703" t="str">
        <f t="shared" si="9"/>
        <v/>
      </c>
      <c r="O93" s="703" t="str">
        <f t="shared" si="10"/>
        <v/>
      </c>
      <c r="P93" s="895" t="str">
        <f t="shared" si="11"/>
        <v/>
      </c>
      <c r="Q93" s="703" t="str">
        <f t="shared" si="12"/>
        <v/>
      </c>
      <c r="R93" s="821" t="str">
        <f t="shared" si="13"/>
        <v/>
      </c>
      <c r="S93" s="897"/>
      <c r="T93" s="925"/>
      <c r="U93" s="746"/>
    </row>
    <row r="94" spans="3:21" x14ac:dyDescent="0.25">
      <c r="C94" s="704"/>
      <c r="D94" s="705"/>
      <c r="E94" s="700"/>
      <c r="F94" s="706"/>
      <c r="G94" s="859"/>
      <c r="H94" s="859"/>
      <c r="I94" s="861" t="str">
        <f t="shared" si="5"/>
        <v/>
      </c>
      <c r="J94" s="861" t="str">
        <f t="shared" si="6"/>
        <v/>
      </c>
      <c r="K94" s="861" t="str">
        <f t="shared" si="7"/>
        <v/>
      </c>
      <c r="M94" s="702" t="str">
        <f t="shared" si="8"/>
        <v/>
      </c>
      <c r="N94" s="703" t="str">
        <f t="shared" si="9"/>
        <v/>
      </c>
      <c r="O94" s="703" t="str">
        <f t="shared" si="10"/>
        <v/>
      </c>
      <c r="P94" s="895" t="str">
        <f t="shared" si="11"/>
        <v/>
      </c>
      <c r="Q94" s="703" t="str">
        <f t="shared" si="12"/>
        <v/>
      </c>
      <c r="R94" s="821" t="str">
        <f t="shared" si="13"/>
        <v/>
      </c>
      <c r="S94" s="897"/>
      <c r="T94" s="925"/>
      <c r="U94" s="746"/>
    </row>
    <row r="95" spans="3:21" x14ac:dyDescent="0.25">
      <c r="C95" s="704"/>
      <c r="D95" s="705"/>
      <c r="E95" s="700"/>
      <c r="F95" s="706"/>
      <c r="G95" s="859"/>
      <c r="H95" s="859"/>
      <c r="I95" s="861" t="str">
        <f t="shared" si="5"/>
        <v/>
      </c>
      <c r="J95" s="861" t="str">
        <f t="shared" si="6"/>
        <v/>
      </c>
      <c r="K95" s="861" t="str">
        <f t="shared" si="7"/>
        <v/>
      </c>
      <c r="M95" s="702" t="str">
        <f t="shared" si="8"/>
        <v/>
      </c>
      <c r="N95" s="703" t="str">
        <f t="shared" si="9"/>
        <v/>
      </c>
      <c r="O95" s="703" t="str">
        <f t="shared" si="10"/>
        <v/>
      </c>
      <c r="P95" s="895" t="str">
        <f t="shared" si="11"/>
        <v/>
      </c>
      <c r="Q95" s="703" t="str">
        <f t="shared" si="12"/>
        <v/>
      </c>
      <c r="R95" s="821" t="str">
        <f t="shared" si="13"/>
        <v/>
      </c>
      <c r="S95" s="897"/>
      <c r="T95" s="925"/>
      <c r="U95" s="746"/>
    </row>
    <row r="96" spans="3:21" x14ac:dyDescent="0.25">
      <c r="C96" s="704"/>
      <c r="D96" s="705"/>
      <c r="E96" s="700"/>
      <c r="F96" s="706"/>
      <c r="G96" s="859"/>
      <c r="H96" s="859"/>
      <c r="I96" s="861" t="str">
        <f t="shared" si="5"/>
        <v/>
      </c>
      <c r="J96" s="861" t="str">
        <f t="shared" si="6"/>
        <v/>
      </c>
      <c r="K96" s="861" t="str">
        <f t="shared" si="7"/>
        <v/>
      </c>
      <c r="M96" s="702" t="str">
        <f t="shared" si="8"/>
        <v/>
      </c>
      <c r="N96" s="703" t="str">
        <f t="shared" si="9"/>
        <v/>
      </c>
      <c r="O96" s="703" t="str">
        <f t="shared" si="10"/>
        <v/>
      </c>
      <c r="P96" s="895" t="str">
        <f t="shared" si="11"/>
        <v/>
      </c>
      <c r="Q96" s="703" t="str">
        <f t="shared" si="12"/>
        <v/>
      </c>
      <c r="R96" s="821" t="str">
        <f t="shared" si="13"/>
        <v/>
      </c>
      <c r="S96" s="897"/>
      <c r="T96" s="925"/>
      <c r="U96" s="746"/>
    </row>
    <row r="97" spans="3:21" x14ac:dyDescent="0.25">
      <c r="C97" s="704"/>
      <c r="D97" s="705"/>
      <c r="E97" s="700"/>
      <c r="F97" s="706"/>
      <c r="G97" s="859"/>
      <c r="H97" s="859"/>
      <c r="I97" s="861" t="str">
        <f t="shared" si="5"/>
        <v/>
      </c>
      <c r="J97" s="861" t="str">
        <f t="shared" si="6"/>
        <v/>
      </c>
      <c r="K97" s="861" t="str">
        <f t="shared" si="7"/>
        <v/>
      </c>
      <c r="M97" s="702" t="str">
        <f t="shared" si="8"/>
        <v/>
      </c>
      <c r="N97" s="703" t="str">
        <f t="shared" si="9"/>
        <v/>
      </c>
      <c r="O97" s="703" t="str">
        <f t="shared" si="10"/>
        <v/>
      </c>
      <c r="P97" s="895" t="str">
        <f t="shared" si="11"/>
        <v/>
      </c>
      <c r="Q97" s="703" t="str">
        <f t="shared" si="12"/>
        <v/>
      </c>
      <c r="R97" s="821" t="str">
        <f t="shared" si="13"/>
        <v/>
      </c>
      <c r="S97" s="897"/>
      <c r="T97" s="925"/>
      <c r="U97" s="746"/>
    </row>
    <row r="98" spans="3:21" x14ac:dyDescent="0.25">
      <c r="C98" s="704"/>
      <c r="D98" s="705"/>
      <c r="E98" s="700"/>
      <c r="F98" s="706"/>
      <c r="G98" s="859"/>
      <c r="H98" s="859"/>
      <c r="I98" s="861" t="str">
        <f t="shared" si="5"/>
        <v/>
      </c>
      <c r="J98" s="861" t="str">
        <f t="shared" si="6"/>
        <v/>
      </c>
      <c r="K98" s="861" t="str">
        <f t="shared" si="7"/>
        <v/>
      </c>
      <c r="M98" s="702" t="str">
        <f t="shared" si="8"/>
        <v/>
      </c>
      <c r="N98" s="703" t="str">
        <f t="shared" si="9"/>
        <v/>
      </c>
      <c r="O98" s="703" t="str">
        <f t="shared" si="10"/>
        <v/>
      </c>
      <c r="P98" s="895" t="str">
        <f t="shared" si="11"/>
        <v/>
      </c>
      <c r="Q98" s="703" t="str">
        <f t="shared" si="12"/>
        <v/>
      </c>
      <c r="R98" s="821" t="str">
        <f t="shared" si="13"/>
        <v/>
      </c>
      <c r="S98" s="897"/>
      <c r="T98" s="925"/>
      <c r="U98" s="746"/>
    </row>
    <row r="99" spans="3:21" x14ac:dyDescent="0.25">
      <c r="C99" s="704"/>
      <c r="D99" s="705"/>
      <c r="E99" s="700"/>
      <c r="F99" s="706"/>
      <c r="G99" s="859"/>
      <c r="H99" s="859"/>
      <c r="I99" s="861" t="str">
        <f t="shared" si="5"/>
        <v/>
      </c>
      <c r="J99" s="861" t="str">
        <f t="shared" si="6"/>
        <v/>
      </c>
      <c r="K99" s="861" t="str">
        <f t="shared" si="7"/>
        <v/>
      </c>
      <c r="M99" s="702" t="str">
        <f t="shared" si="8"/>
        <v/>
      </c>
      <c r="N99" s="703" t="str">
        <f t="shared" si="9"/>
        <v/>
      </c>
      <c r="O99" s="703" t="str">
        <f t="shared" si="10"/>
        <v/>
      </c>
      <c r="P99" s="895" t="str">
        <f t="shared" si="11"/>
        <v/>
      </c>
      <c r="Q99" s="703" t="str">
        <f t="shared" si="12"/>
        <v/>
      </c>
      <c r="R99" s="821" t="str">
        <f t="shared" si="13"/>
        <v/>
      </c>
      <c r="S99" s="897"/>
      <c r="T99" s="925"/>
      <c r="U99" s="746"/>
    </row>
    <row r="100" spans="3:21" x14ac:dyDescent="0.25">
      <c r="C100" s="704"/>
      <c r="D100" s="705"/>
      <c r="E100" s="700"/>
      <c r="F100" s="706"/>
      <c r="G100" s="859"/>
      <c r="H100" s="859"/>
      <c r="I100" s="861" t="str">
        <f t="shared" si="5"/>
        <v/>
      </c>
      <c r="J100" s="861" t="str">
        <f t="shared" si="6"/>
        <v/>
      </c>
      <c r="K100" s="861" t="str">
        <f t="shared" si="7"/>
        <v/>
      </c>
      <c r="M100" s="702" t="str">
        <f t="shared" si="8"/>
        <v/>
      </c>
      <c r="N100" s="703" t="str">
        <f t="shared" si="9"/>
        <v/>
      </c>
      <c r="O100" s="703" t="str">
        <f t="shared" si="10"/>
        <v/>
      </c>
      <c r="P100" s="895" t="str">
        <f t="shared" si="11"/>
        <v/>
      </c>
      <c r="Q100" s="703" t="str">
        <f t="shared" si="12"/>
        <v/>
      </c>
      <c r="R100" s="821" t="str">
        <f t="shared" si="13"/>
        <v/>
      </c>
      <c r="S100" s="897"/>
      <c r="T100" s="925"/>
      <c r="U100" s="746"/>
    </row>
    <row r="101" spans="3:21" x14ac:dyDescent="0.25">
      <c r="C101" s="704"/>
      <c r="D101" s="705"/>
      <c r="E101" s="700"/>
      <c r="F101" s="706"/>
      <c r="G101" s="859"/>
      <c r="H101" s="859"/>
      <c r="I101" s="861" t="str">
        <f t="shared" si="5"/>
        <v/>
      </c>
      <c r="J101" s="861" t="str">
        <f t="shared" si="6"/>
        <v/>
      </c>
      <c r="K101" s="861" t="str">
        <f t="shared" si="7"/>
        <v/>
      </c>
      <c r="M101" s="702" t="str">
        <f t="shared" si="8"/>
        <v/>
      </c>
      <c r="N101" s="703" t="str">
        <f t="shared" si="9"/>
        <v/>
      </c>
      <c r="O101" s="703" t="str">
        <f t="shared" si="10"/>
        <v/>
      </c>
      <c r="P101" s="895" t="str">
        <f t="shared" si="11"/>
        <v/>
      </c>
      <c r="Q101" s="703" t="str">
        <f t="shared" si="12"/>
        <v/>
      </c>
      <c r="R101" s="821" t="str">
        <f t="shared" si="13"/>
        <v/>
      </c>
      <c r="S101" s="897"/>
      <c r="T101" s="925"/>
      <c r="U101" s="746"/>
    </row>
    <row r="102" spans="3:21" x14ac:dyDescent="0.25">
      <c r="C102" s="704"/>
      <c r="D102" s="705"/>
      <c r="E102" s="700"/>
      <c r="F102" s="706"/>
      <c r="G102" s="859"/>
      <c r="H102" s="859"/>
      <c r="I102" s="861" t="str">
        <f t="shared" si="5"/>
        <v/>
      </c>
      <c r="J102" s="861" t="str">
        <f t="shared" si="6"/>
        <v/>
      </c>
      <c r="K102" s="861" t="str">
        <f t="shared" si="7"/>
        <v/>
      </c>
      <c r="M102" s="702" t="str">
        <f t="shared" si="8"/>
        <v/>
      </c>
      <c r="N102" s="703" t="str">
        <f t="shared" si="9"/>
        <v/>
      </c>
      <c r="O102" s="703" t="str">
        <f t="shared" si="10"/>
        <v/>
      </c>
      <c r="P102" s="895" t="str">
        <f t="shared" si="11"/>
        <v/>
      </c>
      <c r="Q102" s="703" t="str">
        <f t="shared" si="12"/>
        <v/>
      </c>
      <c r="R102" s="821" t="str">
        <f t="shared" si="13"/>
        <v/>
      </c>
      <c r="S102" s="897"/>
      <c r="T102" s="925"/>
      <c r="U102" s="746"/>
    </row>
    <row r="103" spans="3:21" x14ac:dyDescent="0.25">
      <c r="C103" s="704"/>
      <c r="D103" s="705"/>
      <c r="E103" s="700"/>
      <c r="F103" s="706"/>
      <c r="G103" s="859"/>
      <c r="H103" s="859"/>
      <c r="I103" s="861" t="str">
        <f t="shared" si="5"/>
        <v/>
      </c>
      <c r="J103" s="861" t="str">
        <f t="shared" si="6"/>
        <v/>
      </c>
      <c r="K103" s="861" t="str">
        <f t="shared" si="7"/>
        <v/>
      </c>
      <c r="M103" s="702" t="str">
        <f t="shared" si="8"/>
        <v/>
      </c>
      <c r="N103" s="703" t="str">
        <f t="shared" si="9"/>
        <v/>
      </c>
      <c r="O103" s="703" t="str">
        <f t="shared" si="10"/>
        <v/>
      </c>
      <c r="P103" s="895" t="str">
        <f t="shared" si="11"/>
        <v/>
      </c>
      <c r="Q103" s="703" t="str">
        <f t="shared" si="12"/>
        <v/>
      </c>
      <c r="R103" s="821" t="str">
        <f t="shared" si="13"/>
        <v/>
      </c>
      <c r="S103" s="897"/>
      <c r="T103" s="925"/>
      <c r="U103" s="746"/>
    </row>
    <row r="104" spans="3:21" x14ac:dyDescent="0.25">
      <c r="C104" s="704"/>
      <c r="D104" s="705"/>
      <c r="E104" s="700"/>
      <c r="F104" s="706"/>
      <c r="G104" s="859"/>
      <c r="H104" s="859"/>
      <c r="I104" s="861" t="str">
        <f t="shared" si="5"/>
        <v/>
      </c>
      <c r="J104" s="861" t="str">
        <f t="shared" si="6"/>
        <v/>
      </c>
      <c r="K104" s="861" t="str">
        <f t="shared" si="7"/>
        <v/>
      </c>
      <c r="M104" s="702" t="str">
        <f t="shared" si="8"/>
        <v/>
      </c>
      <c r="N104" s="703" t="str">
        <f t="shared" si="9"/>
        <v/>
      </c>
      <c r="O104" s="703" t="str">
        <f t="shared" si="10"/>
        <v/>
      </c>
      <c r="P104" s="895" t="str">
        <f t="shared" si="11"/>
        <v/>
      </c>
      <c r="Q104" s="703" t="str">
        <f t="shared" si="12"/>
        <v/>
      </c>
      <c r="R104" s="821" t="str">
        <f t="shared" si="13"/>
        <v/>
      </c>
      <c r="S104" s="897"/>
      <c r="T104" s="925"/>
      <c r="U104" s="746"/>
    </row>
    <row r="105" spans="3:21" x14ac:dyDescent="0.25">
      <c r="C105" s="704"/>
      <c r="D105" s="705"/>
      <c r="E105" s="700"/>
      <c r="F105" s="706"/>
      <c r="G105" s="859"/>
      <c r="H105" s="859"/>
      <c r="I105" s="861" t="str">
        <f t="shared" si="5"/>
        <v/>
      </c>
      <c r="J105" s="861" t="str">
        <f t="shared" si="6"/>
        <v/>
      </c>
      <c r="K105" s="861" t="str">
        <f t="shared" si="7"/>
        <v/>
      </c>
      <c r="M105" s="702" t="str">
        <f t="shared" si="8"/>
        <v/>
      </c>
      <c r="N105" s="703" t="str">
        <f t="shared" si="9"/>
        <v/>
      </c>
      <c r="O105" s="703" t="str">
        <f t="shared" si="10"/>
        <v/>
      </c>
      <c r="P105" s="895" t="str">
        <f t="shared" si="11"/>
        <v/>
      </c>
      <c r="Q105" s="703" t="str">
        <f t="shared" si="12"/>
        <v/>
      </c>
      <c r="R105" s="821" t="str">
        <f t="shared" si="13"/>
        <v/>
      </c>
      <c r="S105" s="897"/>
      <c r="T105" s="925"/>
      <c r="U105" s="746"/>
    </row>
    <row r="106" spans="3:21" x14ac:dyDescent="0.25">
      <c r="C106" s="704"/>
      <c r="D106" s="705"/>
      <c r="E106" s="700"/>
      <c r="F106" s="706"/>
      <c r="G106" s="859"/>
      <c r="H106" s="859"/>
      <c r="I106" s="861" t="str">
        <f t="shared" si="5"/>
        <v/>
      </c>
      <c r="J106" s="861" t="str">
        <f t="shared" si="6"/>
        <v/>
      </c>
      <c r="K106" s="861" t="str">
        <f t="shared" si="7"/>
        <v/>
      </c>
      <c r="M106" s="702" t="str">
        <f t="shared" si="8"/>
        <v/>
      </c>
      <c r="N106" s="703" t="str">
        <f t="shared" si="9"/>
        <v/>
      </c>
      <c r="O106" s="703" t="str">
        <f t="shared" si="10"/>
        <v/>
      </c>
      <c r="P106" s="895" t="str">
        <f t="shared" si="11"/>
        <v/>
      </c>
      <c r="Q106" s="703" t="str">
        <f t="shared" si="12"/>
        <v/>
      </c>
      <c r="R106" s="821" t="str">
        <f t="shared" si="13"/>
        <v/>
      </c>
      <c r="S106" s="897"/>
      <c r="T106" s="925"/>
      <c r="U106" s="746"/>
    </row>
    <row r="107" spans="3:21" x14ac:dyDescent="0.25">
      <c r="C107" s="704"/>
      <c r="D107" s="705"/>
      <c r="E107" s="700"/>
      <c r="F107" s="706"/>
      <c r="G107" s="859"/>
      <c r="H107" s="859"/>
      <c r="I107" s="861" t="str">
        <f t="shared" si="5"/>
        <v/>
      </c>
      <c r="J107" s="861" t="str">
        <f t="shared" si="6"/>
        <v/>
      </c>
      <c r="K107" s="861" t="str">
        <f t="shared" si="7"/>
        <v/>
      </c>
      <c r="M107" s="702" t="str">
        <f t="shared" si="8"/>
        <v/>
      </c>
      <c r="N107" s="703" t="str">
        <f t="shared" si="9"/>
        <v/>
      </c>
      <c r="O107" s="703" t="str">
        <f t="shared" si="10"/>
        <v/>
      </c>
      <c r="P107" s="895" t="str">
        <f t="shared" si="11"/>
        <v/>
      </c>
      <c r="Q107" s="703" t="str">
        <f t="shared" si="12"/>
        <v/>
      </c>
      <c r="R107" s="821" t="str">
        <f t="shared" si="13"/>
        <v/>
      </c>
      <c r="S107" s="897"/>
      <c r="T107" s="925"/>
      <c r="U107" s="746"/>
    </row>
    <row r="108" spans="3:21" x14ac:dyDescent="0.25">
      <c r="C108" s="704"/>
      <c r="D108" s="705"/>
      <c r="E108" s="700"/>
      <c r="F108" s="706"/>
      <c r="G108" s="859"/>
      <c r="H108" s="859"/>
      <c r="I108" s="861" t="str">
        <f t="shared" si="5"/>
        <v/>
      </c>
      <c r="J108" s="861" t="str">
        <f t="shared" si="6"/>
        <v/>
      </c>
      <c r="K108" s="861" t="str">
        <f t="shared" si="7"/>
        <v/>
      </c>
      <c r="M108" s="702" t="str">
        <f t="shared" si="8"/>
        <v/>
      </c>
      <c r="N108" s="703" t="str">
        <f t="shared" si="9"/>
        <v/>
      </c>
      <c r="O108" s="703" t="str">
        <f t="shared" si="10"/>
        <v/>
      </c>
      <c r="P108" s="895" t="str">
        <f t="shared" si="11"/>
        <v/>
      </c>
      <c r="Q108" s="703" t="str">
        <f t="shared" si="12"/>
        <v/>
      </c>
      <c r="R108" s="821" t="str">
        <f t="shared" si="13"/>
        <v/>
      </c>
      <c r="S108" s="897"/>
      <c r="T108" s="925"/>
      <c r="U108" s="746"/>
    </row>
    <row r="109" spans="3:21" x14ac:dyDescent="0.25">
      <c r="C109" s="704"/>
      <c r="D109" s="705"/>
      <c r="E109" s="700"/>
      <c r="F109" s="706"/>
      <c r="G109" s="859"/>
      <c r="H109" s="859"/>
      <c r="I109" s="861" t="str">
        <f t="shared" si="5"/>
        <v/>
      </c>
      <c r="J109" s="861" t="str">
        <f t="shared" si="6"/>
        <v/>
      </c>
      <c r="K109" s="861" t="str">
        <f t="shared" si="7"/>
        <v/>
      </c>
      <c r="M109" s="702" t="str">
        <f t="shared" si="8"/>
        <v/>
      </c>
      <c r="N109" s="703" t="str">
        <f t="shared" si="9"/>
        <v/>
      </c>
      <c r="O109" s="703" t="str">
        <f t="shared" si="10"/>
        <v/>
      </c>
      <c r="P109" s="895" t="str">
        <f t="shared" si="11"/>
        <v/>
      </c>
      <c r="Q109" s="703" t="str">
        <f t="shared" si="12"/>
        <v/>
      </c>
      <c r="R109" s="821" t="str">
        <f t="shared" si="13"/>
        <v/>
      </c>
      <c r="S109" s="897"/>
      <c r="T109" s="925"/>
      <c r="U109" s="746"/>
    </row>
    <row r="110" spans="3:21" x14ac:dyDescent="0.25">
      <c r="C110" s="704"/>
      <c r="D110" s="705"/>
      <c r="E110" s="700"/>
      <c r="F110" s="706"/>
      <c r="G110" s="859"/>
      <c r="H110" s="859"/>
      <c r="I110" s="861" t="str">
        <f t="shared" si="5"/>
        <v/>
      </c>
      <c r="J110" s="861" t="str">
        <f t="shared" si="6"/>
        <v/>
      </c>
      <c r="K110" s="861" t="str">
        <f t="shared" si="7"/>
        <v/>
      </c>
      <c r="M110" s="702" t="str">
        <f t="shared" si="8"/>
        <v/>
      </c>
      <c r="N110" s="703" t="str">
        <f t="shared" si="9"/>
        <v/>
      </c>
      <c r="O110" s="703" t="str">
        <f t="shared" si="10"/>
        <v/>
      </c>
      <c r="P110" s="895" t="str">
        <f t="shared" si="11"/>
        <v/>
      </c>
      <c r="Q110" s="703" t="str">
        <f t="shared" si="12"/>
        <v/>
      </c>
      <c r="R110" s="821" t="str">
        <f t="shared" si="13"/>
        <v/>
      </c>
      <c r="S110" s="897"/>
      <c r="T110" s="925"/>
      <c r="U110" s="746"/>
    </row>
    <row r="111" spans="3:21" x14ac:dyDescent="0.25">
      <c r="C111" s="704"/>
      <c r="D111" s="705"/>
      <c r="E111" s="700"/>
      <c r="F111" s="706"/>
      <c r="G111" s="859"/>
      <c r="H111" s="859"/>
      <c r="I111" s="861" t="str">
        <f t="shared" si="5"/>
        <v/>
      </c>
      <c r="J111" s="861" t="str">
        <f t="shared" si="6"/>
        <v/>
      </c>
      <c r="K111" s="861" t="str">
        <f t="shared" si="7"/>
        <v/>
      </c>
      <c r="M111" s="702" t="str">
        <f t="shared" si="8"/>
        <v/>
      </c>
      <c r="N111" s="703" t="str">
        <f t="shared" si="9"/>
        <v/>
      </c>
      <c r="O111" s="703" t="str">
        <f t="shared" si="10"/>
        <v/>
      </c>
      <c r="P111" s="895" t="str">
        <f t="shared" si="11"/>
        <v/>
      </c>
      <c r="Q111" s="703" t="str">
        <f t="shared" si="12"/>
        <v/>
      </c>
      <c r="R111" s="821" t="str">
        <f t="shared" si="13"/>
        <v/>
      </c>
      <c r="S111" s="897"/>
      <c r="T111" s="925"/>
      <c r="U111" s="746"/>
    </row>
    <row r="112" spans="3:21" x14ac:dyDescent="0.25">
      <c r="C112" s="704"/>
      <c r="D112" s="705"/>
      <c r="E112" s="700"/>
      <c r="F112" s="706"/>
      <c r="G112" s="859"/>
      <c r="H112" s="859"/>
      <c r="I112" s="861" t="str">
        <f t="shared" si="5"/>
        <v/>
      </c>
      <c r="J112" s="861" t="str">
        <f t="shared" si="6"/>
        <v/>
      </c>
      <c r="K112" s="861" t="str">
        <f t="shared" si="7"/>
        <v/>
      </c>
      <c r="M112" s="702" t="str">
        <f t="shared" si="8"/>
        <v/>
      </c>
      <c r="N112" s="703" t="str">
        <f t="shared" si="9"/>
        <v/>
      </c>
      <c r="O112" s="703" t="str">
        <f t="shared" si="10"/>
        <v/>
      </c>
      <c r="P112" s="895" t="str">
        <f t="shared" si="11"/>
        <v/>
      </c>
      <c r="Q112" s="703" t="str">
        <f t="shared" si="12"/>
        <v/>
      </c>
      <c r="R112" s="821" t="str">
        <f t="shared" si="13"/>
        <v/>
      </c>
      <c r="S112" s="897"/>
      <c r="T112" s="925"/>
      <c r="U112" s="746"/>
    </row>
    <row r="113" spans="3:21" x14ac:dyDescent="0.25">
      <c r="C113" s="704"/>
      <c r="D113" s="705"/>
      <c r="E113" s="700"/>
      <c r="F113" s="706"/>
      <c r="G113" s="859"/>
      <c r="H113" s="859"/>
      <c r="I113" s="861" t="str">
        <f t="shared" si="5"/>
        <v/>
      </c>
      <c r="J113" s="861" t="str">
        <f t="shared" si="6"/>
        <v/>
      </c>
      <c r="K113" s="861" t="str">
        <f t="shared" si="7"/>
        <v/>
      </c>
      <c r="M113" s="702" t="str">
        <f t="shared" si="8"/>
        <v/>
      </c>
      <c r="N113" s="703" t="str">
        <f t="shared" si="9"/>
        <v/>
      </c>
      <c r="O113" s="703" t="str">
        <f t="shared" si="10"/>
        <v/>
      </c>
      <c r="P113" s="895" t="str">
        <f t="shared" si="11"/>
        <v/>
      </c>
      <c r="Q113" s="703" t="str">
        <f t="shared" si="12"/>
        <v/>
      </c>
      <c r="R113" s="821" t="str">
        <f t="shared" si="13"/>
        <v/>
      </c>
      <c r="S113" s="897"/>
      <c r="T113" s="925"/>
      <c r="U113" s="746"/>
    </row>
    <row r="114" spans="3:21" x14ac:dyDescent="0.25">
      <c r="C114" s="704"/>
      <c r="D114" s="705"/>
      <c r="E114" s="700"/>
      <c r="F114" s="706"/>
      <c r="G114" s="859"/>
      <c r="H114" s="859"/>
      <c r="I114" s="861" t="str">
        <f t="shared" si="5"/>
        <v/>
      </c>
      <c r="J114" s="861" t="str">
        <f t="shared" si="6"/>
        <v/>
      </c>
      <c r="K114" s="861" t="str">
        <f t="shared" si="7"/>
        <v/>
      </c>
      <c r="M114" s="702" t="str">
        <f t="shared" si="8"/>
        <v/>
      </c>
      <c r="N114" s="703" t="str">
        <f t="shared" si="9"/>
        <v/>
      </c>
      <c r="O114" s="703" t="str">
        <f t="shared" si="10"/>
        <v/>
      </c>
      <c r="P114" s="895" t="str">
        <f t="shared" si="11"/>
        <v/>
      </c>
      <c r="Q114" s="703" t="str">
        <f t="shared" si="12"/>
        <v/>
      </c>
      <c r="R114" s="821" t="str">
        <f t="shared" si="13"/>
        <v/>
      </c>
      <c r="S114" s="897"/>
      <c r="T114" s="925"/>
      <c r="U114" s="746"/>
    </row>
    <row r="115" spans="3:21" x14ac:dyDescent="0.25">
      <c r="C115" s="704"/>
      <c r="D115" s="705"/>
      <c r="E115" s="700"/>
      <c r="F115" s="706"/>
      <c r="G115" s="859"/>
      <c r="H115" s="859"/>
      <c r="I115" s="861" t="str">
        <f t="shared" si="5"/>
        <v/>
      </c>
      <c r="J115" s="861" t="str">
        <f t="shared" si="6"/>
        <v/>
      </c>
      <c r="K115" s="861" t="str">
        <f t="shared" si="7"/>
        <v/>
      </c>
      <c r="M115" s="702" t="str">
        <f t="shared" si="8"/>
        <v/>
      </c>
      <c r="N115" s="703" t="str">
        <f t="shared" si="9"/>
        <v/>
      </c>
      <c r="O115" s="703" t="str">
        <f t="shared" si="10"/>
        <v/>
      </c>
      <c r="P115" s="895" t="str">
        <f t="shared" si="11"/>
        <v/>
      </c>
      <c r="Q115" s="703" t="str">
        <f t="shared" si="12"/>
        <v/>
      </c>
      <c r="R115" s="821" t="str">
        <f t="shared" si="13"/>
        <v/>
      </c>
      <c r="S115" s="897"/>
      <c r="T115" s="925"/>
      <c r="U115" s="746"/>
    </row>
    <row r="116" spans="3:21" x14ac:dyDescent="0.25">
      <c r="C116" s="704"/>
      <c r="D116" s="705"/>
      <c r="E116" s="700"/>
      <c r="F116" s="706"/>
      <c r="G116" s="859"/>
      <c r="H116" s="859"/>
      <c r="I116" s="861" t="str">
        <f t="shared" si="5"/>
        <v/>
      </c>
      <c r="J116" s="861" t="str">
        <f t="shared" si="6"/>
        <v/>
      </c>
      <c r="K116" s="861" t="str">
        <f t="shared" si="7"/>
        <v/>
      </c>
      <c r="M116" s="702" t="str">
        <f t="shared" si="8"/>
        <v/>
      </c>
      <c r="N116" s="703" t="str">
        <f t="shared" si="9"/>
        <v/>
      </c>
      <c r="O116" s="703" t="str">
        <f t="shared" si="10"/>
        <v/>
      </c>
      <c r="P116" s="895" t="str">
        <f t="shared" si="11"/>
        <v/>
      </c>
      <c r="Q116" s="703" t="str">
        <f t="shared" si="12"/>
        <v/>
      </c>
      <c r="R116" s="821" t="str">
        <f t="shared" si="13"/>
        <v/>
      </c>
      <c r="S116" s="897"/>
      <c r="T116" s="925"/>
      <c r="U116" s="746"/>
    </row>
    <row r="117" spans="3:21" x14ac:dyDescent="0.25">
      <c r="C117" s="704"/>
      <c r="D117" s="705"/>
      <c r="E117" s="700"/>
      <c r="F117" s="706"/>
      <c r="G117" s="859"/>
      <c r="H117" s="859"/>
      <c r="I117" s="861" t="str">
        <f t="shared" si="5"/>
        <v/>
      </c>
      <c r="J117" s="861" t="str">
        <f t="shared" si="6"/>
        <v/>
      </c>
      <c r="K117" s="861" t="str">
        <f t="shared" si="7"/>
        <v/>
      </c>
      <c r="M117" s="702" t="str">
        <f t="shared" si="8"/>
        <v/>
      </c>
      <c r="N117" s="703" t="str">
        <f t="shared" si="9"/>
        <v/>
      </c>
      <c r="O117" s="703" t="str">
        <f t="shared" si="10"/>
        <v/>
      </c>
      <c r="P117" s="895" t="str">
        <f t="shared" si="11"/>
        <v/>
      </c>
      <c r="Q117" s="703" t="str">
        <f t="shared" si="12"/>
        <v/>
      </c>
      <c r="R117" s="821" t="str">
        <f t="shared" si="13"/>
        <v/>
      </c>
      <c r="S117" s="897"/>
      <c r="T117" s="925"/>
      <c r="U117" s="746"/>
    </row>
    <row r="118" spans="3:21" x14ac:dyDescent="0.25">
      <c r="C118" s="704"/>
      <c r="D118" s="705"/>
      <c r="E118" s="700"/>
      <c r="F118" s="706"/>
      <c r="G118" s="859"/>
      <c r="H118" s="859"/>
      <c r="I118" s="861" t="str">
        <f t="shared" si="5"/>
        <v/>
      </c>
      <c r="J118" s="861" t="str">
        <f t="shared" si="6"/>
        <v/>
      </c>
      <c r="K118" s="861" t="str">
        <f t="shared" si="7"/>
        <v/>
      </c>
      <c r="M118" s="702" t="str">
        <f t="shared" si="8"/>
        <v/>
      </c>
      <c r="N118" s="703" t="str">
        <f t="shared" si="9"/>
        <v/>
      </c>
      <c r="O118" s="703" t="str">
        <f t="shared" si="10"/>
        <v/>
      </c>
      <c r="P118" s="895" t="str">
        <f t="shared" si="11"/>
        <v/>
      </c>
      <c r="Q118" s="703" t="str">
        <f t="shared" si="12"/>
        <v/>
      </c>
      <c r="R118" s="821" t="str">
        <f t="shared" si="13"/>
        <v/>
      </c>
      <c r="S118" s="897"/>
      <c r="T118" s="925"/>
      <c r="U118" s="746"/>
    </row>
    <row r="119" spans="3:21" x14ac:dyDescent="0.25">
      <c r="C119" s="704"/>
      <c r="D119" s="705"/>
      <c r="E119" s="700"/>
      <c r="F119" s="706"/>
      <c r="G119" s="859"/>
      <c r="H119" s="859"/>
      <c r="I119" s="861" t="str">
        <f t="shared" si="5"/>
        <v/>
      </c>
      <c r="J119" s="861" t="str">
        <f t="shared" si="6"/>
        <v/>
      </c>
      <c r="K119" s="861" t="str">
        <f t="shared" si="7"/>
        <v/>
      </c>
      <c r="M119" s="702" t="str">
        <f t="shared" si="8"/>
        <v/>
      </c>
      <c r="N119" s="703" t="str">
        <f t="shared" si="9"/>
        <v/>
      </c>
      <c r="O119" s="703" t="str">
        <f t="shared" si="10"/>
        <v/>
      </c>
      <c r="P119" s="895" t="str">
        <f t="shared" si="11"/>
        <v/>
      </c>
      <c r="Q119" s="703" t="str">
        <f t="shared" si="12"/>
        <v/>
      </c>
      <c r="R119" s="821" t="str">
        <f t="shared" si="13"/>
        <v/>
      </c>
      <c r="S119" s="897"/>
      <c r="T119" s="925"/>
      <c r="U119" s="746"/>
    </row>
    <row r="120" spans="3:21" x14ac:dyDescent="0.25">
      <c r="C120" s="704"/>
      <c r="D120" s="705"/>
      <c r="E120" s="700"/>
      <c r="F120" s="706"/>
      <c r="G120" s="859"/>
      <c r="H120" s="859"/>
      <c r="I120" s="861" t="str">
        <f t="shared" si="5"/>
        <v/>
      </c>
      <c r="J120" s="861" t="str">
        <f t="shared" si="6"/>
        <v/>
      </c>
      <c r="K120" s="861" t="str">
        <f t="shared" si="7"/>
        <v/>
      </c>
      <c r="M120" s="702" t="str">
        <f t="shared" si="8"/>
        <v/>
      </c>
      <c r="N120" s="703" t="str">
        <f t="shared" si="9"/>
        <v/>
      </c>
      <c r="O120" s="703" t="str">
        <f t="shared" si="10"/>
        <v/>
      </c>
      <c r="P120" s="895" t="str">
        <f t="shared" si="11"/>
        <v/>
      </c>
      <c r="Q120" s="703" t="str">
        <f t="shared" si="12"/>
        <v/>
      </c>
      <c r="R120" s="821" t="str">
        <f t="shared" si="13"/>
        <v/>
      </c>
      <c r="S120" s="897"/>
      <c r="T120" s="925"/>
      <c r="U120" s="746"/>
    </row>
    <row r="121" spans="3:21" x14ac:dyDescent="0.25">
      <c r="C121" s="704"/>
      <c r="D121" s="705"/>
      <c r="E121" s="700"/>
      <c r="F121" s="706"/>
      <c r="G121" s="859"/>
      <c r="H121" s="859"/>
      <c r="I121" s="861" t="str">
        <f t="shared" si="5"/>
        <v/>
      </c>
      <c r="J121" s="861" t="str">
        <f t="shared" si="6"/>
        <v/>
      </c>
      <c r="K121" s="861" t="str">
        <f t="shared" si="7"/>
        <v/>
      </c>
      <c r="M121" s="702" t="str">
        <f t="shared" si="8"/>
        <v/>
      </c>
      <c r="N121" s="703" t="str">
        <f t="shared" si="9"/>
        <v/>
      </c>
      <c r="O121" s="703" t="str">
        <f t="shared" si="10"/>
        <v/>
      </c>
      <c r="P121" s="895" t="str">
        <f t="shared" si="11"/>
        <v/>
      </c>
      <c r="Q121" s="703" t="str">
        <f t="shared" si="12"/>
        <v/>
      </c>
      <c r="R121" s="821" t="str">
        <f t="shared" si="13"/>
        <v/>
      </c>
      <c r="S121" s="897"/>
      <c r="T121" s="925"/>
      <c r="U121" s="746"/>
    </row>
    <row r="122" spans="3:21" x14ac:dyDescent="0.25">
      <c r="C122" s="704"/>
      <c r="D122" s="705"/>
      <c r="E122" s="700"/>
      <c r="F122" s="706"/>
      <c r="G122" s="859"/>
      <c r="H122" s="859"/>
      <c r="I122" s="861" t="str">
        <f t="shared" si="5"/>
        <v/>
      </c>
      <c r="J122" s="861" t="str">
        <f t="shared" si="6"/>
        <v/>
      </c>
      <c r="K122" s="861" t="str">
        <f t="shared" si="7"/>
        <v/>
      </c>
      <c r="M122" s="702" t="str">
        <f t="shared" si="8"/>
        <v/>
      </c>
      <c r="N122" s="703" t="str">
        <f t="shared" si="9"/>
        <v/>
      </c>
      <c r="O122" s="703" t="str">
        <f t="shared" si="10"/>
        <v/>
      </c>
      <c r="P122" s="895" t="str">
        <f t="shared" si="11"/>
        <v/>
      </c>
      <c r="Q122" s="703" t="str">
        <f t="shared" si="12"/>
        <v/>
      </c>
      <c r="R122" s="821" t="str">
        <f t="shared" si="13"/>
        <v/>
      </c>
      <c r="S122" s="897"/>
      <c r="T122" s="925"/>
      <c r="U122" s="746"/>
    </row>
    <row r="123" spans="3:21" x14ac:dyDescent="0.25">
      <c r="C123" s="704"/>
      <c r="D123" s="705"/>
      <c r="E123" s="700"/>
      <c r="F123" s="706"/>
      <c r="G123" s="859"/>
      <c r="H123" s="859"/>
      <c r="I123" s="861" t="str">
        <f t="shared" si="5"/>
        <v/>
      </c>
      <c r="J123" s="861" t="str">
        <f t="shared" si="6"/>
        <v/>
      </c>
      <c r="K123" s="861" t="str">
        <f t="shared" si="7"/>
        <v/>
      </c>
      <c r="M123" s="702" t="str">
        <f t="shared" si="8"/>
        <v/>
      </c>
      <c r="N123" s="703" t="str">
        <f t="shared" ref="N123:N154" si="14">IFERROR(INDEX(CNTR_FuelListIsZero, MATCH(E123, CNTR_FuelListNames, 0)),"")</f>
        <v/>
      </c>
      <c r="O123" s="703" t="str">
        <f t="shared" ref="O123:O154" si="15">IF(E123="","",IFERROR(NOT(ISNUMBER(INDEX(CNTR_FuelListSupportRate, MATCH(E123, CNTR_FuelListNames, 0)))),  ""))</f>
        <v/>
      </c>
      <c r="P123" s="895" t="str">
        <f t="shared" ref="P123:P154" si="16">IFERROR( OR( INDEX(CNTR_FuelListCompleteData, MATCH(E123, CNTR_FuelListNames, 0)) = FALSE,   INDEX(CNTR_FuelListIsFossil, MATCH(E123, CNTR_FuelListNames, 0)) = TRUE),  "")</f>
        <v/>
      </c>
      <c r="Q123" s="703" t="str">
        <f t="shared" ref="Q123:Q154" si="17">IFERROR(IF(INDEX(CNTR_FuelListSubType, MATCH(E123, CNTR_FuelListNames, 0)) = "",  "",  INDEX(CNTR_FuelListSubType, MATCH(E123, CNTR_FuelListNames, 0))),  "")</f>
        <v/>
      </c>
      <c r="R123" s="821" t="str">
        <f t="shared" ref="R123:R154" si="18">IFERROR(IF( AND(D123=TRUE, ISNUMBER(INDEX(CNTR_FuelListSupportRate, MATCH( E123, CNTR_FuelListNames, 0)))),   1,   INDEX(CNTR_FuelListSupportRate, MATCH(E123, CNTR_FuelListNames, 0))),  "")</f>
        <v/>
      </c>
      <c r="S123" s="897"/>
      <c r="T123" s="925"/>
      <c r="U123" s="746"/>
    </row>
    <row r="124" spans="3:21" x14ac:dyDescent="0.25">
      <c r="C124" s="704"/>
      <c r="D124" s="705"/>
      <c r="E124" s="700"/>
      <c r="F124" s="706"/>
      <c r="G124" s="859"/>
      <c r="H124" s="859"/>
      <c r="I124" s="861" t="str">
        <f t="shared" ref="I124:I187" si="19">IF(ISNUMBER($F124), IFERROR($F124*G124,"--"),"")</f>
        <v/>
      </c>
      <c r="J124" s="861" t="str">
        <f t="shared" ref="J124:J187" si="20">IF(AND(ISNUMBER($F124),N124=TRUE), IFERROR($F124*G124,"--"),"")</f>
        <v/>
      </c>
      <c r="K124" s="861" t="str">
        <f t="shared" ref="K124:K187" si="21">IF(ISNUMBER($F124), IFERROR($F124*H124,"--"),"")</f>
        <v/>
      </c>
      <c r="M124" s="702" t="str">
        <f t="shared" ref="M124:M187" si="22">IF(E124="","", IFERROR(IF(N124 = FALSE,  TRUE,  FALSE),  ""))</f>
        <v/>
      </c>
      <c r="N124" s="703" t="str">
        <f t="shared" si="14"/>
        <v/>
      </c>
      <c r="O124" s="703" t="str">
        <f t="shared" si="15"/>
        <v/>
      </c>
      <c r="P124" s="895" t="str">
        <f t="shared" si="16"/>
        <v/>
      </c>
      <c r="Q124" s="703" t="str">
        <f t="shared" si="17"/>
        <v/>
      </c>
      <c r="R124" s="821" t="str">
        <f t="shared" si="18"/>
        <v/>
      </c>
      <c r="S124" s="897"/>
      <c r="T124" s="925"/>
      <c r="U124" s="746"/>
    </row>
    <row r="125" spans="3:21" x14ac:dyDescent="0.25">
      <c r="C125" s="704"/>
      <c r="D125" s="705"/>
      <c r="E125" s="700"/>
      <c r="F125" s="706"/>
      <c r="G125" s="859"/>
      <c r="H125" s="859"/>
      <c r="I125" s="861" t="str">
        <f t="shared" si="19"/>
        <v/>
      </c>
      <c r="J125" s="861" t="str">
        <f t="shared" si="20"/>
        <v/>
      </c>
      <c r="K125" s="861" t="str">
        <f t="shared" si="21"/>
        <v/>
      </c>
      <c r="M125" s="702" t="str">
        <f t="shared" si="22"/>
        <v/>
      </c>
      <c r="N125" s="703" t="str">
        <f t="shared" si="14"/>
        <v/>
      </c>
      <c r="O125" s="703" t="str">
        <f t="shared" si="15"/>
        <v/>
      </c>
      <c r="P125" s="895" t="str">
        <f t="shared" si="16"/>
        <v/>
      </c>
      <c r="Q125" s="703" t="str">
        <f t="shared" si="17"/>
        <v/>
      </c>
      <c r="R125" s="821" t="str">
        <f t="shared" si="18"/>
        <v/>
      </c>
      <c r="S125" s="897"/>
      <c r="T125" s="925"/>
      <c r="U125" s="746"/>
    </row>
    <row r="126" spans="3:21" x14ac:dyDescent="0.25">
      <c r="C126" s="704"/>
      <c r="D126" s="705"/>
      <c r="E126" s="700"/>
      <c r="F126" s="706"/>
      <c r="G126" s="859"/>
      <c r="H126" s="859"/>
      <c r="I126" s="861" t="str">
        <f t="shared" si="19"/>
        <v/>
      </c>
      <c r="J126" s="861" t="str">
        <f t="shared" si="20"/>
        <v/>
      </c>
      <c r="K126" s="861" t="str">
        <f t="shared" si="21"/>
        <v/>
      </c>
      <c r="M126" s="702" t="str">
        <f t="shared" si="22"/>
        <v/>
      </c>
      <c r="N126" s="703" t="str">
        <f t="shared" si="14"/>
        <v/>
      </c>
      <c r="O126" s="703" t="str">
        <f t="shared" si="15"/>
        <v/>
      </c>
      <c r="P126" s="895" t="str">
        <f t="shared" si="16"/>
        <v/>
      </c>
      <c r="Q126" s="703" t="str">
        <f t="shared" si="17"/>
        <v/>
      </c>
      <c r="R126" s="821" t="str">
        <f t="shared" si="18"/>
        <v/>
      </c>
      <c r="S126" s="897"/>
      <c r="T126" s="925"/>
      <c r="U126" s="746"/>
    </row>
    <row r="127" spans="3:21" x14ac:dyDescent="0.25">
      <c r="C127" s="704"/>
      <c r="D127" s="705"/>
      <c r="E127" s="700"/>
      <c r="F127" s="706"/>
      <c r="G127" s="859"/>
      <c r="H127" s="859"/>
      <c r="I127" s="861" t="str">
        <f t="shared" si="19"/>
        <v/>
      </c>
      <c r="J127" s="861" t="str">
        <f t="shared" si="20"/>
        <v/>
      </c>
      <c r="K127" s="861" t="str">
        <f t="shared" si="21"/>
        <v/>
      </c>
      <c r="M127" s="702" t="str">
        <f t="shared" si="22"/>
        <v/>
      </c>
      <c r="N127" s="703" t="str">
        <f t="shared" si="14"/>
        <v/>
      </c>
      <c r="O127" s="703" t="str">
        <f t="shared" si="15"/>
        <v/>
      </c>
      <c r="P127" s="895" t="str">
        <f t="shared" si="16"/>
        <v/>
      </c>
      <c r="Q127" s="703" t="str">
        <f t="shared" si="17"/>
        <v/>
      </c>
      <c r="R127" s="821" t="str">
        <f t="shared" si="18"/>
        <v/>
      </c>
      <c r="S127" s="897"/>
      <c r="T127" s="925"/>
      <c r="U127" s="746"/>
    </row>
    <row r="128" spans="3:21" x14ac:dyDescent="0.25">
      <c r="C128" s="704"/>
      <c r="D128" s="705"/>
      <c r="E128" s="700"/>
      <c r="F128" s="706"/>
      <c r="G128" s="859"/>
      <c r="H128" s="859"/>
      <c r="I128" s="861" t="str">
        <f t="shared" si="19"/>
        <v/>
      </c>
      <c r="J128" s="861" t="str">
        <f t="shared" si="20"/>
        <v/>
      </c>
      <c r="K128" s="861" t="str">
        <f t="shared" si="21"/>
        <v/>
      </c>
      <c r="M128" s="702" t="str">
        <f t="shared" si="22"/>
        <v/>
      </c>
      <c r="N128" s="703" t="str">
        <f t="shared" si="14"/>
        <v/>
      </c>
      <c r="O128" s="703" t="str">
        <f t="shared" si="15"/>
        <v/>
      </c>
      <c r="P128" s="895" t="str">
        <f t="shared" si="16"/>
        <v/>
      </c>
      <c r="Q128" s="703" t="str">
        <f t="shared" si="17"/>
        <v/>
      </c>
      <c r="R128" s="821" t="str">
        <f t="shared" si="18"/>
        <v/>
      </c>
      <c r="S128" s="897"/>
      <c r="T128" s="925"/>
      <c r="U128" s="746"/>
    </row>
    <row r="129" spans="3:21" x14ac:dyDescent="0.25">
      <c r="C129" s="704"/>
      <c r="D129" s="705"/>
      <c r="E129" s="700"/>
      <c r="F129" s="706"/>
      <c r="G129" s="859"/>
      <c r="H129" s="859"/>
      <c r="I129" s="861" t="str">
        <f t="shared" si="19"/>
        <v/>
      </c>
      <c r="J129" s="861" t="str">
        <f t="shared" si="20"/>
        <v/>
      </c>
      <c r="K129" s="861" t="str">
        <f t="shared" si="21"/>
        <v/>
      </c>
      <c r="M129" s="702" t="str">
        <f t="shared" si="22"/>
        <v/>
      </c>
      <c r="N129" s="703" t="str">
        <f t="shared" si="14"/>
        <v/>
      </c>
      <c r="O129" s="703" t="str">
        <f t="shared" si="15"/>
        <v/>
      </c>
      <c r="P129" s="895" t="str">
        <f t="shared" si="16"/>
        <v/>
      </c>
      <c r="Q129" s="703" t="str">
        <f t="shared" si="17"/>
        <v/>
      </c>
      <c r="R129" s="821" t="str">
        <f t="shared" si="18"/>
        <v/>
      </c>
      <c r="S129" s="897"/>
      <c r="T129" s="925"/>
      <c r="U129" s="746"/>
    </row>
    <row r="130" spans="3:21" x14ac:dyDescent="0.25">
      <c r="C130" s="704"/>
      <c r="D130" s="705"/>
      <c r="E130" s="700"/>
      <c r="F130" s="706"/>
      <c r="G130" s="859"/>
      <c r="H130" s="859"/>
      <c r="I130" s="861" t="str">
        <f t="shared" si="19"/>
        <v/>
      </c>
      <c r="J130" s="861" t="str">
        <f t="shared" si="20"/>
        <v/>
      </c>
      <c r="K130" s="861" t="str">
        <f t="shared" si="21"/>
        <v/>
      </c>
      <c r="M130" s="702" t="str">
        <f t="shared" si="22"/>
        <v/>
      </c>
      <c r="N130" s="703" t="str">
        <f t="shared" si="14"/>
        <v/>
      </c>
      <c r="O130" s="703" t="str">
        <f t="shared" si="15"/>
        <v/>
      </c>
      <c r="P130" s="895" t="str">
        <f t="shared" si="16"/>
        <v/>
      </c>
      <c r="Q130" s="703" t="str">
        <f t="shared" si="17"/>
        <v/>
      </c>
      <c r="R130" s="821" t="str">
        <f t="shared" si="18"/>
        <v/>
      </c>
      <c r="S130" s="897"/>
      <c r="T130" s="925"/>
      <c r="U130" s="746"/>
    </row>
    <row r="131" spans="3:21" x14ac:dyDescent="0.25">
      <c r="C131" s="704"/>
      <c r="D131" s="705"/>
      <c r="E131" s="700"/>
      <c r="F131" s="706"/>
      <c r="G131" s="859"/>
      <c r="H131" s="859"/>
      <c r="I131" s="861" t="str">
        <f t="shared" si="19"/>
        <v/>
      </c>
      <c r="J131" s="861" t="str">
        <f t="shared" si="20"/>
        <v/>
      </c>
      <c r="K131" s="861" t="str">
        <f t="shared" si="21"/>
        <v/>
      </c>
      <c r="M131" s="702" t="str">
        <f t="shared" si="22"/>
        <v/>
      </c>
      <c r="N131" s="703" t="str">
        <f t="shared" si="14"/>
        <v/>
      </c>
      <c r="O131" s="703" t="str">
        <f t="shared" si="15"/>
        <v/>
      </c>
      <c r="P131" s="895" t="str">
        <f t="shared" si="16"/>
        <v/>
      </c>
      <c r="Q131" s="703" t="str">
        <f t="shared" si="17"/>
        <v/>
      </c>
      <c r="R131" s="821" t="str">
        <f t="shared" si="18"/>
        <v/>
      </c>
      <c r="S131" s="897"/>
      <c r="T131" s="925"/>
      <c r="U131" s="746"/>
    </row>
    <row r="132" spans="3:21" x14ac:dyDescent="0.25">
      <c r="C132" s="704"/>
      <c r="D132" s="705"/>
      <c r="E132" s="700"/>
      <c r="F132" s="706"/>
      <c r="G132" s="859"/>
      <c r="H132" s="859"/>
      <c r="I132" s="861" t="str">
        <f t="shared" si="19"/>
        <v/>
      </c>
      <c r="J132" s="861" t="str">
        <f t="shared" si="20"/>
        <v/>
      </c>
      <c r="K132" s="861" t="str">
        <f t="shared" si="21"/>
        <v/>
      </c>
      <c r="M132" s="702" t="str">
        <f t="shared" si="22"/>
        <v/>
      </c>
      <c r="N132" s="703" t="str">
        <f t="shared" si="14"/>
        <v/>
      </c>
      <c r="O132" s="703" t="str">
        <f t="shared" si="15"/>
        <v/>
      </c>
      <c r="P132" s="895" t="str">
        <f t="shared" si="16"/>
        <v/>
      </c>
      <c r="Q132" s="703" t="str">
        <f t="shared" si="17"/>
        <v/>
      </c>
      <c r="R132" s="821" t="str">
        <f t="shared" si="18"/>
        <v/>
      </c>
      <c r="S132" s="897"/>
      <c r="T132" s="925"/>
      <c r="U132" s="746"/>
    </row>
    <row r="133" spans="3:21" x14ac:dyDescent="0.25">
      <c r="C133" s="704"/>
      <c r="D133" s="705"/>
      <c r="E133" s="700"/>
      <c r="F133" s="706"/>
      <c r="G133" s="859"/>
      <c r="H133" s="859"/>
      <c r="I133" s="861" t="str">
        <f t="shared" si="19"/>
        <v/>
      </c>
      <c r="J133" s="861" t="str">
        <f t="shared" si="20"/>
        <v/>
      </c>
      <c r="K133" s="861" t="str">
        <f t="shared" si="21"/>
        <v/>
      </c>
      <c r="M133" s="702" t="str">
        <f t="shared" si="22"/>
        <v/>
      </c>
      <c r="N133" s="703" t="str">
        <f t="shared" si="14"/>
        <v/>
      </c>
      <c r="O133" s="703" t="str">
        <f t="shared" si="15"/>
        <v/>
      </c>
      <c r="P133" s="895" t="str">
        <f t="shared" si="16"/>
        <v/>
      </c>
      <c r="Q133" s="703" t="str">
        <f t="shared" si="17"/>
        <v/>
      </c>
      <c r="R133" s="821" t="str">
        <f t="shared" si="18"/>
        <v/>
      </c>
      <c r="S133" s="897"/>
      <c r="T133" s="925"/>
      <c r="U133" s="746"/>
    </row>
    <row r="134" spans="3:21" x14ac:dyDescent="0.25">
      <c r="C134" s="704"/>
      <c r="D134" s="705"/>
      <c r="E134" s="700"/>
      <c r="F134" s="706"/>
      <c r="G134" s="859"/>
      <c r="H134" s="859"/>
      <c r="I134" s="861" t="str">
        <f t="shared" si="19"/>
        <v/>
      </c>
      <c r="J134" s="861" t="str">
        <f t="shared" si="20"/>
        <v/>
      </c>
      <c r="K134" s="861" t="str">
        <f t="shared" si="21"/>
        <v/>
      </c>
      <c r="M134" s="702" t="str">
        <f t="shared" si="22"/>
        <v/>
      </c>
      <c r="N134" s="703" t="str">
        <f t="shared" si="14"/>
        <v/>
      </c>
      <c r="O134" s="703" t="str">
        <f t="shared" si="15"/>
        <v/>
      </c>
      <c r="P134" s="895" t="str">
        <f t="shared" si="16"/>
        <v/>
      </c>
      <c r="Q134" s="703" t="str">
        <f t="shared" si="17"/>
        <v/>
      </c>
      <c r="R134" s="821" t="str">
        <f t="shared" si="18"/>
        <v/>
      </c>
      <c r="S134" s="897"/>
      <c r="T134" s="925"/>
      <c r="U134" s="746"/>
    </row>
    <row r="135" spans="3:21" x14ac:dyDescent="0.25">
      <c r="C135" s="704"/>
      <c r="D135" s="705"/>
      <c r="E135" s="700"/>
      <c r="F135" s="706"/>
      <c r="G135" s="859"/>
      <c r="H135" s="859"/>
      <c r="I135" s="861" t="str">
        <f t="shared" si="19"/>
        <v/>
      </c>
      <c r="J135" s="861" t="str">
        <f t="shared" si="20"/>
        <v/>
      </c>
      <c r="K135" s="861" t="str">
        <f t="shared" si="21"/>
        <v/>
      </c>
      <c r="M135" s="702" t="str">
        <f t="shared" si="22"/>
        <v/>
      </c>
      <c r="N135" s="703" t="str">
        <f t="shared" si="14"/>
        <v/>
      </c>
      <c r="O135" s="703" t="str">
        <f t="shared" si="15"/>
        <v/>
      </c>
      <c r="P135" s="895" t="str">
        <f t="shared" si="16"/>
        <v/>
      </c>
      <c r="Q135" s="703" t="str">
        <f t="shared" si="17"/>
        <v/>
      </c>
      <c r="R135" s="821" t="str">
        <f t="shared" si="18"/>
        <v/>
      </c>
      <c r="S135" s="897"/>
      <c r="T135" s="925"/>
      <c r="U135" s="746"/>
    </row>
    <row r="136" spans="3:21" x14ac:dyDescent="0.25">
      <c r="C136" s="704"/>
      <c r="D136" s="705"/>
      <c r="E136" s="700"/>
      <c r="F136" s="706"/>
      <c r="G136" s="859"/>
      <c r="H136" s="859"/>
      <c r="I136" s="861" t="str">
        <f t="shared" si="19"/>
        <v/>
      </c>
      <c r="J136" s="861" t="str">
        <f t="shared" si="20"/>
        <v/>
      </c>
      <c r="K136" s="861" t="str">
        <f t="shared" si="21"/>
        <v/>
      </c>
      <c r="M136" s="702" t="str">
        <f t="shared" si="22"/>
        <v/>
      </c>
      <c r="N136" s="703" t="str">
        <f t="shared" si="14"/>
        <v/>
      </c>
      <c r="O136" s="703" t="str">
        <f t="shared" si="15"/>
        <v/>
      </c>
      <c r="P136" s="895" t="str">
        <f t="shared" si="16"/>
        <v/>
      </c>
      <c r="Q136" s="703" t="str">
        <f t="shared" si="17"/>
        <v/>
      </c>
      <c r="R136" s="821" t="str">
        <f t="shared" si="18"/>
        <v/>
      </c>
      <c r="S136" s="897"/>
      <c r="T136" s="925"/>
      <c r="U136" s="746"/>
    </row>
    <row r="137" spans="3:21" x14ac:dyDescent="0.25">
      <c r="C137" s="704"/>
      <c r="D137" s="705"/>
      <c r="E137" s="700"/>
      <c r="F137" s="706"/>
      <c r="G137" s="859"/>
      <c r="H137" s="859"/>
      <c r="I137" s="861" t="str">
        <f t="shared" si="19"/>
        <v/>
      </c>
      <c r="J137" s="861" t="str">
        <f t="shared" si="20"/>
        <v/>
      </c>
      <c r="K137" s="861" t="str">
        <f t="shared" si="21"/>
        <v/>
      </c>
      <c r="M137" s="702" t="str">
        <f t="shared" si="22"/>
        <v/>
      </c>
      <c r="N137" s="703" t="str">
        <f t="shared" si="14"/>
        <v/>
      </c>
      <c r="O137" s="703" t="str">
        <f t="shared" si="15"/>
        <v/>
      </c>
      <c r="P137" s="895" t="str">
        <f t="shared" si="16"/>
        <v/>
      </c>
      <c r="Q137" s="703" t="str">
        <f t="shared" si="17"/>
        <v/>
      </c>
      <c r="R137" s="821" t="str">
        <f t="shared" si="18"/>
        <v/>
      </c>
      <c r="S137" s="897"/>
      <c r="T137" s="925"/>
      <c r="U137" s="746"/>
    </row>
    <row r="138" spans="3:21" x14ac:dyDescent="0.25">
      <c r="C138" s="704"/>
      <c r="D138" s="705"/>
      <c r="E138" s="700"/>
      <c r="F138" s="706"/>
      <c r="G138" s="859"/>
      <c r="H138" s="859"/>
      <c r="I138" s="861" t="str">
        <f t="shared" si="19"/>
        <v/>
      </c>
      <c r="J138" s="861" t="str">
        <f t="shared" si="20"/>
        <v/>
      </c>
      <c r="K138" s="861" t="str">
        <f t="shared" si="21"/>
        <v/>
      </c>
      <c r="M138" s="702" t="str">
        <f t="shared" si="22"/>
        <v/>
      </c>
      <c r="N138" s="703" t="str">
        <f t="shared" si="14"/>
        <v/>
      </c>
      <c r="O138" s="703" t="str">
        <f t="shared" si="15"/>
        <v/>
      </c>
      <c r="P138" s="895" t="str">
        <f t="shared" si="16"/>
        <v/>
      </c>
      <c r="Q138" s="703" t="str">
        <f t="shared" si="17"/>
        <v/>
      </c>
      <c r="R138" s="821" t="str">
        <f t="shared" si="18"/>
        <v/>
      </c>
      <c r="S138" s="897"/>
      <c r="T138" s="925"/>
      <c r="U138" s="746"/>
    </row>
    <row r="139" spans="3:21" x14ac:dyDescent="0.25">
      <c r="C139" s="704"/>
      <c r="D139" s="705"/>
      <c r="E139" s="700"/>
      <c r="F139" s="706"/>
      <c r="G139" s="859"/>
      <c r="H139" s="859"/>
      <c r="I139" s="861" t="str">
        <f t="shared" si="19"/>
        <v/>
      </c>
      <c r="J139" s="861" t="str">
        <f t="shared" si="20"/>
        <v/>
      </c>
      <c r="K139" s="861" t="str">
        <f t="shared" si="21"/>
        <v/>
      </c>
      <c r="M139" s="702" t="str">
        <f t="shared" si="22"/>
        <v/>
      </c>
      <c r="N139" s="703" t="str">
        <f t="shared" si="14"/>
        <v/>
      </c>
      <c r="O139" s="703" t="str">
        <f t="shared" si="15"/>
        <v/>
      </c>
      <c r="P139" s="895" t="str">
        <f t="shared" si="16"/>
        <v/>
      </c>
      <c r="Q139" s="703" t="str">
        <f t="shared" si="17"/>
        <v/>
      </c>
      <c r="R139" s="821" t="str">
        <f t="shared" si="18"/>
        <v/>
      </c>
      <c r="S139" s="897"/>
      <c r="T139" s="925"/>
      <c r="U139" s="746"/>
    </row>
    <row r="140" spans="3:21" x14ac:dyDescent="0.25">
      <c r="C140" s="704"/>
      <c r="D140" s="705"/>
      <c r="E140" s="700"/>
      <c r="F140" s="706"/>
      <c r="G140" s="859"/>
      <c r="H140" s="859"/>
      <c r="I140" s="861" t="str">
        <f t="shared" si="19"/>
        <v/>
      </c>
      <c r="J140" s="861" t="str">
        <f t="shared" si="20"/>
        <v/>
      </c>
      <c r="K140" s="861" t="str">
        <f t="shared" si="21"/>
        <v/>
      </c>
      <c r="M140" s="702" t="str">
        <f t="shared" si="22"/>
        <v/>
      </c>
      <c r="N140" s="703" t="str">
        <f t="shared" si="14"/>
        <v/>
      </c>
      <c r="O140" s="703" t="str">
        <f t="shared" si="15"/>
        <v/>
      </c>
      <c r="P140" s="895" t="str">
        <f t="shared" si="16"/>
        <v/>
      </c>
      <c r="Q140" s="703" t="str">
        <f t="shared" si="17"/>
        <v/>
      </c>
      <c r="R140" s="821" t="str">
        <f t="shared" si="18"/>
        <v/>
      </c>
      <c r="S140" s="897"/>
      <c r="T140" s="925"/>
      <c r="U140" s="746"/>
    </row>
    <row r="141" spans="3:21" x14ac:dyDescent="0.25">
      <c r="C141" s="704"/>
      <c r="D141" s="705"/>
      <c r="E141" s="700"/>
      <c r="F141" s="706"/>
      <c r="G141" s="859"/>
      <c r="H141" s="859"/>
      <c r="I141" s="861" t="str">
        <f t="shared" si="19"/>
        <v/>
      </c>
      <c r="J141" s="861" t="str">
        <f t="shared" si="20"/>
        <v/>
      </c>
      <c r="K141" s="861" t="str">
        <f t="shared" si="21"/>
        <v/>
      </c>
      <c r="M141" s="702" t="str">
        <f t="shared" si="22"/>
        <v/>
      </c>
      <c r="N141" s="703" t="str">
        <f t="shared" si="14"/>
        <v/>
      </c>
      <c r="O141" s="703" t="str">
        <f t="shared" si="15"/>
        <v/>
      </c>
      <c r="P141" s="895" t="str">
        <f t="shared" si="16"/>
        <v/>
      </c>
      <c r="Q141" s="703" t="str">
        <f t="shared" si="17"/>
        <v/>
      </c>
      <c r="R141" s="821" t="str">
        <f t="shared" si="18"/>
        <v/>
      </c>
      <c r="S141" s="897"/>
      <c r="T141" s="925"/>
      <c r="U141" s="746"/>
    </row>
    <row r="142" spans="3:21" x14ac:dyDescent="0.25">
      <c r="C142" s="704"/>
      <c r="D142" s="705"/>
      <c r="E142" s="700"/>
      <c r="F142" s="706"/>
      <c r="G142" s="859"/>
      <c r="H142" s="859"/>
      <c r="I142" s="861" t="str">
        <f t="shared" si="19"/>
        <v/>
      </c>
      <c r="J142" s="861" t="str">
        <f t="shared" si="20"/>
        <v/>
      </c>
      <c r="K142" s="861" t="str">
        <f t="shared" si="21"/>
        <v/>
      </c>
      <c r="M142" s="702" t="str">
        <f t="shared" si="22"/>
        <v/>
      </c>
      <c r="N142" s="703" t="str">
        <f t="shared" si="14"/>
        <v/>
      </c>
      <c r="O142" s="703" t="str">
        <f t="shared" si="15"/>
        <v/>
      </c>
      <c r="P142" s="895" t="str">
        <f t="shared" si="16"/>
        <v/>
      </c>
      <c r="Q142" s="703" t="str">
        <f t="shared" si="17"/>
        <v/>
      </c>
      <c r="R142" s="821" t="str">
        <f t="shared" si="18"/>
        <v/>
      </c>
      <c r="S142" s="897"/>
      <c r="T142" s="925"/>
      <c r="U142" s="746"/>
    </row>
    <row r="143" spans="3:21" x14ac:dyDescent="0.25">
      <c r="C143" s="704"/>
      <c r="D143" s="705"/>
      <c r="E143" s="700"/>
      <c r="F143" s="706"/>
      <c r="G143" s="859"/>
      <c r="H143" s="859"/>
      <c r="I143" s="861" t="str">
        <f t="shared" si="19"/>
        <v/>
      </c>
      <c r="J143" s="861" t="str">
        <f t="shared" si="20"/>
        <v/>
      </c>
      <c r="K143" s="861" t="str">
        <f t="shared" si="21"/>
        <v/>
      </c>
      <c r="M143" s="702" t="str">
        <f t="shared" si="22"/>
        <v/>
      </c>
      <c r="N143" s="703" t="str">
        <f t="shared" si="14"/>
        <v/>
      </c>
      <c r="O143" s="703" t="str">
        <f t="shared" si="15"/>
        <v/>
      </c>
      <c r="P143" s="895" t="str">
        <f t="shared" si="16"/>
        <v/>
      </c>
      <c r="Q143" s="703" t="str">
        <f t="shared" si="17"/>
        <v/>
      </c>
      <c r="R143" s="821" t="str">
        <f t="shared" si="18"/>
        <v/>
      </c>
      <c r="S143" s="897"/>
      <c r="T143" s="925"/>
      <c r="U143" s="746"/>
    </row>
    <row r="144" spans="3:21" x14ac:dyDescent="0.25">
      <c r="C144" s="704"/>
      <c r="D144" s="705"/>
      <c r="E144" s="700"/>
      <c r="F144" s="706"/>
      <c r="G144" s="859"/>
      <c r="H144" s="859"/>
      <c r="I144" s="861" t="str">
        <f t="shared" si="19"/>
        <v/>
      </c>
      <c r="J144" s="861" t="str">
        <f t="shared" si="20"/>
        <v/>
      </c>
      <c r="K144" s="861" t="str">
        <f t="shared" si="21"/>
        <v/>
      </c>
      <c r="M144" s="702" t="str">
        <f t="shared" si="22"/>
        <v/>
      </c>
      <c r="N144" s="703" t="str">
        <f t="shared" si="14"/>
        <v/>
      </c>
      <c r="O144" s="703" t="str">
        <f t="shared" si="15"/>
        <v/>
      </c>
      <c r="P144" s="895" t="str">
        <f t="shared" si="16"/>
        <v/>
      </c>
      <c r="Q144" s="703" t="str">
        <f t="shared" si="17"/>
        <v/>
      </c>
      <c r="R144" s="821" t="str">
        <f t="shared" si="18"/>
        <v/>
      </c>
      <c r="S144" s="897"/>
      <c r="T144" s="925"/>
      <c r="U144" s="746"/>
    </row>
    <row r="145" spans="3:21" x14ac:dyDescent="0.25">
      <c r="C145" s="704"/>
      <c r="D145" s="705"/>
      <c r="E145" s="700"/>
      <c r="F145" s="706"/>
      <c r="G145" s="859"/>
      <c r="H145" s="859"/>
      <c r="I145" s="861" t="str">
        <f t="shared" si="19"/>
        <v/>
      </c>
      <c r="J145" s="861" t="str">
        <f t="shared" si="20"/>
        <v/>
      </c>
      <c r="K145" s="861" t="str">
        <f t="shared" si="21"/>
        <v/>
      </c>
      <c r="M145" s="702" t="str">
        <f t="shared" si="22"/>
        <v/>
      </c>
      <c r="N145" s="703" t="str">
        <f t="shared" si="14"/>
        <v/>
      </c>
      <c r="O145" s="703" t="str">
        <f t="shared" si="15"/>
        <v/>
      </c>
      <c r="P145" s="895" t="str">
        <f t="shared" si="16"/>
        <v/>
      </c>
      <c r="Q145" s="703" t="str">
        <f t="shared" si="17"/>
        <v/>
      </c>
      <c r="R145" s="821" t="str">
        <f t="shared" si="18"/>
        <v/>
      </c>
      <c r="S145" s="897"/>
      <c r="T145" s="925"/>
      <c r="U145" s="746"/>
    </row>
    <row r="146" spans="3:21" x14ac:dyDescent="0.25">
      <c r="C146" s="704"/>
      <c r="D146" s="705"/>
      <c r="E146" s="700"/>
      <c r="F146" s="706"/>
      <c r="G146" s="859"/>
      <c r="H146" s="859"/>
      <c r="I146" s="861" t="str">
        <f t="shared" si="19"/>
        <v/>
      </c>
      <c r="J146" s="861" t="str">
        <f t="shared" si="20"/>
        <v/>
      </c>
      <c r="K146" s="861" t="str">
        <f t="shared" si="21"/>
        <v/>
      </c>
      <c r="M146" s="702" t="str">
        <f t="shared" si="22"/>
        <v/>
      </c>
      <c r="N146" s="703" t="str">
        <f t="shared" si="14"/>
        <v/>
      </c>
      <c r="O146" s="703" t="str">
        <f t="shared" si="15"/>
        <v/>
      </c>
      <c r="P146" s="895" t="str">
        <f t="shared" si="16"/>
        <v/>
      </c>
      <c r="Q146" s="703" t="str">
        <f t="shared" si="17"/>
        <v/>
      </c>
      <c r="R146" s="821" t="str">
        <f t="shared" si="18"/>
        <v/>
      </c>
      <c r="S146" s="897"/>
      <c r="T146" s="925"/>
      <c r="U146" s="746"/>
    </row>
    <row r="147" spans="3:21" x14ac:dyDescent="0.25">
      <c r="C147" s="704"/>
      <c r="D147" s="705"/>
      <c r="E147" s="700"/>
      <c r="F147" s="706"/>
      <c r="G147" s="859"/>
      <c r="H147" s="859"/>
      <c r="I147" s="861" t="str">
        <f t="shared" si="19"/>
        <v/>
      </c>
      <c r="J147" s="861" t="str">
        <f t="shared" si="20"/>
        <v/>
      </c>
      <c r="K147" s="861" t="str">
        <f t="shared" si="21"/>
        <v/>
      </c>
      <c r="M147" s="702" t="str">
        <f t="shared" si="22"/>
        <v/>
      </c>
      <c r="N147" s="703" t="str">
        <f t="shared" si="14"/>
        <v/>
      </c>
      <c r="O147" s="703" t="str">
        <f t="shared" si="15"/>
        <v/>
      </c>
      <c r="P147" s="895" t="str">
        <f t="shared" si="16"/>
        <v/>
      </c>
      <c r="Q147" s="703" t="str">
        <f t="shared" si="17"/>
        <v/>
      </c>
      <c r="R147" s="821" t="str">
        <f t="shared" si="18"/>
        <v/>
      </c>
      <c r="S147" s="897"/>
      <c r="T147" s="925"/>
      <c r="U147" s="746"/>
    </row>
    <row r="148" spans="3:21" x14ac:dyDescent="0.25">
      <c r="C148" s="704"/>
      <c r="D148" s="705"/>
      <c r="E148" s="700"/>
      <c r="F148" s="706"/>
      <c r="G148" s="859"/>
      <c r="H148" s="859"/>
      <c r="I148" s="861" t="str">
        <f t="shared" si="19"/>
        <v/>
      </c>
      <c r="J148" s="861" t="str">
        <f t="shared" si="20"/>
        <v/>
      </c>
      <c r="K148" s="861" t="str">
        <f t="shared" si="21"/>
        <v/>
      </c>
      <c r="M148" s="702" t="str">
        <f t="shared" si="22"/>
        <v/>
      </c>
      <c r="N148" s="703" t="str">
        <f t="shared" si="14"/>
        <v/>
      </c>
      <c r="O148" s="703" t="str">
        <f t="shared" si="15"/>
        <v/>
      </c>
      <c r="P148" s="895" t="str">
        <f t="shared" si="16"/>
        <v/>
      </c>
      <c r="Q148" s="703" t="str">
        <f t="shared" si="17"/>
        <v/>
      </c>
      <c r="R148" s="821" t="str">
        <f t="shared" si="18"/>
        <v/>
      </c>
      <c r="S148" s="897"/>
      <c r="T148" s="925"/>
      <c r="U148" s="746"/>
    </row>
    <row r="149" spans="3:21" x14ac:dyDescent="0.25">
      <c r="C149" s="704"/>
      <c r="D149" s="705"/>
      <c r="E149" s="700"/>
      <c r="F149" s="706"/>
      <c r="G149" s="859"/>
      <c r="H149" s="859"/>
      <c r="I149" s="861" t="str">
        <f t="shared" si="19"/>
        <v/>
      </c>
      <c r="J149" s="861" t="str">
        <f t="shared" si="20"/>
        <v/>
      </c>
      <c r="K149" s="861" t="str">
        <f t="shared" si="21"/>
        <v/>
      </c>
      <c r="M149" s="702" t="str">
        <f t="shared" si="22"/>
        <v/>
      </c>
      <c r="N149" s="703" t="str">
        <f t="shared" si="14"/>
        <v/>
      </c>
      <c r="O149" s="703" t="str">
        <f t="shared" si="15"/>
        <v/>
      </c>
      <c r="P149" s="895" t="str">
        <f t="shared" si="16"/>
        <v/>
      </c>
      <c r="Q149" s="703" t="str">
        <f t="shared" si="17"/>
        <v/>
      </c>
      <c r="R149" s="821" t="str">
        <f t="shared" si="18"/>
        <v/>
      </c>
      <c r="S149" s="897"/>
      <c r="T149" s="925"/>
      <c r="U149" s="746"/>
    </row>
    <row r="150" spans="3:21" x14ac:dyDescent="0.25">
      <c r="C150" s="704"/>
      <c r="D150" s="705"/>
      <c r="E150" s="700"/>
      <c r="F150" s="706"/>
      <c r="G150" s="859"/>
      <c r="H150" s="859"/>
      <c r="I150" s="861" t="str">
        <f t="shared" si="19"/>
        <v/>
      </c>
      <c r="J150" s="861" t="str">
        <f t="shared" si="20"/>
        <v/>
      </c>
      <c r="K150" s="861" t="str">
        <f t="shared" si="21"/>
        <v/>
      </c>
      <c r="M150" s="702" t="str">
        <f t="shared" si="22"/>
        <v/>
      </c>
      <c r="N150" s="703" t="str">
        <f t="shared" si="14"/>
        <v/>
      </c>
      <c r="O150" s="703" t="str">
        <f t="shared" si="15"/>
        <v/>
      </c>
      <c r="P150" s="895" t="str">
        <f t="shared" si="16"/>
        <v/>
      </c>
      <c r="Q150" s="703" t="str">
        <f t="shared" si="17"/>
        <v/>
      </c>
      <c r="R150" s="821" t="str">
        <f t="shared" si="18"/>
        <v/>
      </c>
      <c r="S150" s="897"/>
      <c r="T150" s="925"/>
      <c r="U150" s="746"/>
    </row>
    <row r="151" spans="3:21" x14ac:dyDescent="0.25">
      <c r="C151" s="704"/>
      <c r="D151" s="705"/>
      <c r="E151" s="700"/>
      <c r="F151" s="706"/>
      <c r="G151" s="859"/>
      <c r="H151" s="859"/>
      <c r="I151" s="861" t="str">
        <f t="shared" si="19"/>
        <v/>
      </c>
      <c r="J151" s="861" t="str">
        <f t="shared" si="20"/>
        <v/>
      </c>
      <c r="K151" s="861" t="str">
        <f t="shared" si="21"/>
        <v/>
      </c>
      <c r="M151" s="702" t="str">
        <f t="shared" si="22"/>
        <v/>
      </c>
      <c r="N151" s="703" t="str">
        <f t="shared" si="14"/>
        <v/>
      </c>
      <c r="O151" s="703" t="str">
        <f t="shared" si="15"/>
        <v/>
      </c>
      <c r="P151" s="895" t="str">
        <f t="shared" si="16"/>
        <v/>
      </c>
      <c r="Q151" s="703" t="str">
        <f t="shared" si="17"/>
        <v/>
      </c>
      <c r="R151" s="821" t="str">
        <f t="shared" si="18"/>
        <v/>
      </c>
      <c r="S151" s="897"/>
      <c r="T151" s="925"/>
      <c r="U151" s="746"/>
    </row>
    <row r="152" spans="3:21" x14ac:dyDescent="0.25">
      <c r="C152" s="704"/>
      <c r="D152" s="705"/>
      <c r="E152" s="700"/>
      <c r="F152" s="706"/>
      <c r="G152" s="859"/>
      <c r="H152" s="859"/>
      <c r="I152" s="861" t="str">
        <f t="shared" si="19"/>
        <v/>
      </c>
      <c r="J152" s="861" t="str">
        <f t="shared" si="20"/>
        <v/>
      </c>
      <c r="K152" s="861" t="str">
        <f t="shared" si="21"/>
        <v/>
      </c>
      <c r="M152" s="702" t="str">
        <f t="shared" si="22"/>
        <v/>
      </c>
      <c r="N152" s="703" t="str">
        <f t="shared" si="14"/>
        <v/>
      </c>
      <c r="O152" s="703" t="str">
        <f t="shared" si="15"/>
        <v/>
      </c>
      <c r="P152" s="895" t="str">
        <f t="shared" si="16"/>
        <v/>
      </c>
      <c r="Q152" s="703" t="str">
        <f t="shared" si="17"/>
        <v/>
      </c>
      <c r="R152" s="821" t="str">
        <f t="shared" si="18"/>
        <v/>
      </c>
      <c r="S152" s="897"/>
      <c r="T152" s="925"/>
      <c r="U152" s="746"/>
    </row>
    <row r="153" spans="3:21" x14ac:dyDescent="0.25">
      <c r="C153" s="704"/>
      <c r="D153" s="705"/>
      <c r="E153" s="700"/>
      <c r="F153" s="706"/>
      <c r="G153" s="859"/>
      <c r="H153" s="859"/>
      <c r="I153" s="861" t="str">
        <f t="shared" si="19"/>
        <v/>
      </c>
      <c r="J153" s="861" t="str">
        <f t="shared" si="20"/>
        <v/>
      </c>
      <c r="K153" s="861" t="str">
        <f t="shared" si="21"/>
        <v/>
      </c>
      <c r="M153" s="702" t="str">
        <f t="shared" si="22"/>
        <v/>
      </c>
      <c r="N153" s="703" t="str">
        <f t="shared" si="14"/>
        <v/>
      </c>
      <c r="O153" s="703" t="str">
        <f t="shared" si="15"/>
        <v/>
      </c>
      <c r="P153" s="895" t="str">
        <f t="shared" si="16"/>
        <v/>
      </c>
      <c r="Q153" s="703" t="str">
        <f t="shared" si="17"/>
        <v/>
      </c>
      <c r="R153" s="821" t="str">
        <f t="shared" si="18"/>
        <v/>
      </c>
      <c r="S153" s="897"/>
      <c r="T153" s="925"/>
      <c r="U153" s="746"/>
    </row>
    <row r="154" spans="3:21" x14ac:dyDescent="0.25">
      <c r="C154" s="704"/>
      <c r="D154" s="705"/>
      <c r="E154" s="700"/>
      <c r="F154" s="706"/>
      <c r="G154" s="859"/>
      <c r="H154" s="859"/>
      <c r="I154" s="861" t="str">
        <f t="shared" si="19"/>
        <v/>
      </c>
      <c r="J154" s="861" t="str">
        <f t="shared" si="20"/>
        <v/>
      </c>
      <c r="K154" s="861" t="str">
        <f t="shared" si="21"/>
        <v/>
      </c>
      <c r="M154" s="702" t="str">
        <f t="shared" si="22"/>
        <v/>
      </c>
      <c r="N154" s="703" t="str">
        <f t="shared" si="14"/>
        <v/>
      </c>
      <c r="O154" s="703" t="str">
        <f t="shared" si="15"/>
        <v/>
      </c>
      <c r="P154" s="895" t="str">
        <f t="shared" si="16"/>
        <v/>
      </c>
      <c r="Q154" s="703" t="str">
        <f t="shared" si="17"/>
        <v/>
      </c>
      <c r="R154" s="821" t="str">
        <f t="shared" si="18"/>
        <v/>
      </c>
      <c r="S154" s="897"/>
      <c r="T154" s="925"/>
      <c r="U154" s="746"/>
    </row>
    <row r="155" spans="3:21" x14ac:dyDescent="0.25">
      <c r="C155" s="704"/>
      <c r="D155" s="705"/>
      <c r="E155" s="700"/>
      <c r="F155" s="706"/>
      <c r="G155" s="859"/>
      <c r="H155" s="859"/>
      <c r="I155" s="861" t="str">
        <f t="shared" si="19"/>
        <v/>
      </c>
      <c r="J155" s="861" t="str">
        <f t="shared" si="20"/>
        <v/>
      </c>
      <c r="K155" s="861" t="str">
        <f t="shared" si="21"/>
        <v/>
      </c>
      <c r="M155" s="702" t="str">
        <f t="shared" si="22"/>
        <v/>
      </c>
      <c r="N155" s="703" t="str">
        <f t="shared" ref="N155:N186" si="23">IFERROR(INDEX(CNTR_FuelListIsZero, MATCH(E155, CNTR_FuelListNames, 0)),"")</f>
        <v/>
      </c>
      <c r="O155" s="703" t="str">
        <f t="shared" ref="O155:O186" si="24">IF(E155="","",IFERROR(NOT(ISNUMBER(INDEX(CNTR_FuelListSupportRate, MATCH(E155, CNTR_FuelListNames, 0)))),  ""))</f>
        <v/>
      </c>
      <c r="P155" s="895" t="str">
        <f t="shared" ref="P155:P186" si="25">IFERROR( OR( INDEX(CNTR_FuelListCompleteData, MATCH(E155, CNTR_FuelListNames, 0)) = FALSE,   INDEX(CNTR_FuelListIsFossil, MATCH(E155, CNTR_FuelListNames, 0)) = TRUE),  "")</f>
        <v/>
      </c>
      <c r="Q155" s="703" t="str">
        <f t="shared" ref="Q155:Q186" si="26">IFERROR(IF(INDEX(CNTR_FuelListSubType, MATCH(E155, CNTR_FuelListNames, 0)) = "",  "",  INDEX(CNTR_FuelListSubType, MATCH(E155, CNTR_FuelListNames, 0))),  "")</f>
        <v/>
      </c>
      <c r="R155" s="821" t="str">
        <f t="shared" ref="R155:R186" si="27">IFERROR(IF( AND(D155=TRUE, ISNUMBER(INDEX(CNTR_FuelListSupportRate, MATCH( E155, CNTR_FuelListNames, 0)))),   1,   INDEX(CNTR_FuelListSupportRate, MATCH(E155, CNTR_FuelListNames, 0))),  "")</f>
        <v/>
      </c>
      <c r="S155" s="897"/>
      <c r="T155" s="925"/>
      <c r="U155" s="746"/>
    </row>
    <row r="156" spans="3:21" x14ac:dyDescent="0.25">
      <c r="C156" s="704"/>
      <c r="D156" s="705"/>
      <c r="E156" s="700"/>
      <c r="F156" s="706"/>
      <c r="G156" s="859"/>
      <c r="H156" s="859"/>
      <c r="I156" s="861" t="str">
        <f t="shared" si="19"/>
        <v/>
      </c>
      <c r="J156" s="861" t="str">
        <f t="shared" si="20"/>
        <v/>
      </c>
      <c r="K156" s="861" t="str">
        <f t="shared" si="21"/>
        <v/>
      </c>
      <c r="M156" s="702" t="str">
        <f t="shared" si="22"/>
        <v/>
      </c>
      <c r="N156" s="703" t="str">
        <f t="shared" si="23"/>
        <v/>
      </c>
      <c r="O156" s="703" t="str">
        <f t="shared" si="24"/>
        <v/>
      </c>
      <c r="P156" s="895" t="str">
        <f t="shared" si="25"/>
        <v/>
      </c>
      <c r="Q156" s="703" t="str">
        <f t="shared" si="26"/>
        <v/>
      </c>
      <c r="R156" s="821" t="str">
        <f t="shared" si="27"/>
        <v/>
      </c>
      <c r="S156" s="897"/>
      <c r="T156" s="925"/>
      <c r="U156" s="746"/>
    </row>
    <row r="157" spans="3:21" x14ac:dyDescent="0.25">
      <c r="C157" s="704"/>
      <c r="D157" s="705"/>
      <c r="E157" s="700"/>
      <c r="F157" s="706"/>
      <c r="G157" s="859"/>
      <c r="H157" s="859"/>
      <c r="I157" s="861" t="str">
        <f t="shared" si="19"/>
        <v/>
      </c>
      <c r="J157" s="861" t="str">
        <f t="shared" si="20"/>
        <v/>
      </c>
      <c r="K157" s="861" t="str">
        <f t="shared" si="21"/>
        <v/>
      </c>
      <c r="M157" s="702" t="str">
        <f t="shared" si="22"/>
        <v/>
      </c>
      <c r="N157" s="703" t="str">
        <f t="shared" si="23"/>
        <v/>
      </c>
      <c r="O157" s="703" t="str">
        <f t="shared" si="24"/>
        <v/>
      </c>
      <c r="P157" s="895" t="str">
        <f t="shared" si="25"/>
        <v/>
      </c>
      <c r="Q157" s="703" t="str">
        <f t="shared" si="26"/>
        <v/>
      </c>
      <c r="R157" s="821" t="str">
        <f t="shared" si="27"/>
        <v/>
      </c>
      <c r="S157" s="897"/>
      <c r="T157" s="925"/>
      <c r="U157" s="746"/>
    </row>
    <row r="158" spans="3:21" x14ac:dyDescent="0.25">
      <c r="C158" s="704"/>
      <c r="D158" s="705"/>
      <c r="E158" s="700"/>
      <c r="F158" s="706"/>
      <c r="G158" s="859"/>
      <c r="H158" s="859"/>
      <c r="I158" s="861" t="str">
        <f t="shared" si="19"/>
        <v/>
      </c>
      <c r="J158" s="861" t="str">
        <f t="shared" si="20"/>
        <v/>
      </c>
      <c r="K158" s="861" t="str">
        <f t="shared" si="21"/>
        <v/>
      </c>
      <c r="M158" s="702" t="str">
        <f t="shared" si="22"/>
        <v/>
      </c>
      <c r="N158" s="703" t="str">
        <f t="shared" si="23"/>
        <v/>
      </c>
      <c r="O158" s="703" t="str">
        <f t="shared" si="24"/>
        <v/>
      </c>
      <c r="P158" s="895" t="str">
        <f t="shared" si="25"/>
        <v/>
      </c>
      <c r="Q158" s="703" t="str">
        <f t="shared" si="26"/>
        <v/>
      </c>
      <c r="R158" s="821" t="str">
        <f t="shared" si="27"/>
        <v/>
      </c>
      <c r="S158" s="897"/>
      <c r="T158" s="925"/>
      <c r="U158" s="746"/>
    </row>
    <row r="159" spans="3:21" x14ac:dyDescent="0.25">
      <c r="C159" s="704"/>
      <c r="D159" s="705"/>
      <c r="E159" s="700"/>
      <c r="F159" s="706"/>
      <c r="G159" s="859"/>
      <c r="H159" s="859"/>
      <c r="I159" s="861" t="str">
        <f t="shared" si="19"/>
        <v/>
      </c>
      <c r="J159" s="861" t="str">
        <f t="shared" si="20"/>
        <v/>
      </c>
      <c r="K159" s="861" t="str">
        <f t="shared" si="21"/>
        <v/>
      </c>
      <c r="M159" s="702" t="str">
        <f t="shared" si="22"/>
        <v/>
      </c>
      <c r="N159" s="703" t="str">
        <f t="shared" si="23"/>
        <v/>
      </c>
      <c r="O159" s="703" t="str">
        <f t="shared" si="24"/>
        <v/>
      </c>
      <c r="P159" s="895" t="str">
        <f t="shared" si="25"/>
        <v/>
      </c>
      <c r="Q159" s="703" t="str">
        <f t="shared" si="26"/>
        <v/>
      </c>
      <c r="R159" s="821" t="str">
        <f t="shared" si="27"/>
        <v/>
      </c>
      <c r="S159" s="897"/>
      <c r="T159" s="925"/>
      <c r="U159" s="746"/>
    </row>
    <row r="160" spans="3:21" x14ac:dyDescent="0.25">
      <c r="C160" s="704"/>
      <c r="D160" s="705"/>
      <c r="E160" s="700"/>
      <c r="F160" s="706"/>
      <c r="G160" s="859"/>
      <c r="H160" s="859"/>
      <c r="I160" s="861" t="str">
        <f t="shared" si="19"/>
        <v/>
      </c>
      <c r="J160" s="861" t="str">
        <f t="shared" si="20"/>
        <v/>
      </c>
      <c r="K160" s="861" t="str">
        <f t="shared" si="21"/>
        <v/>
      </c>
      <c r="M160" s="702" t="str">
        <f t="shared" si="22"/>
        <v/>
      </c>
      <c r="N160" s="703" t="str">
        <f t="shared" si="23"/>
        <v/>
      </c>
      <c r="O160" s="703" t="str">
        <f t="shared" si="24"/>
        <v/>
      </c>
      <c r="P160" s="895" t="str">
        <f t="shared" si="25"/>
        <v/>
      </c>
      <c r="Q160" s="703" t="str">
        <f t="shared" si="26"/>
        <v/>
      </c>
      <c r="R160" s="821" t="str">
        <f t="shared" si="27"/>
        <v/>
      </c>
      <c r="S160" s="897"/>
      <c r="T160" s="925"/>
      <c r="U160" s="746"/>
    </row>
    <row r="161" spans="3:21" x14ac:dyDescent="0.25">
      <c r="C161" s="704"/>
      <c r="D161" s="705"/>
      <c r="E161" s="700"/>
      <c r="F161" s="706"/>
      <c r="G161" s="859"/>
      <c r="H161" s="859"/>
      <c r="I161" s="861" t="str">
        <f t="shared" si="19"/>
        <v/>
      </c>
      <c r="J161" s="861" t="str">
        <f t="shared" si="20"/>
        <v/>
      </c>
      <c r="K161" s="861" t="str">
        <f t="shared" si="21"/>
        <v/>
      </c>
      <c r="M161" s="702" t="str">
        <f t="shared" si="22"/>
        <v/>
      </c>
      <c r="N161" s="703" t="str">
        <f t="shared" si="23"/>
        <v/>
      </c>
      <c r="O161" s="703" t="str">
        <f t="shared" si="24"/>
        <v/>
      </c>
      <c r="P161" s="895" t="str">
        <f t="shared" si="25"/>
        <v/>
      </c>
      <c r="Q161" s="703" t="str">
        <f t="shared" si="26"/>
        <v/>
      </c>
      <c r="R161" s="821" t="str">
        <f t="shared" si="27"/>
        <v/>
      </c>
      <c r="S161" s="897"/>
      <c r="T161" s="925"/>
      <c r="U161" s="746"/>
    </row>
    <row r="162" spans="3:21" x14ac:dyDescent="0.25">
      <c r="C162" s="704"/>
      <c r="D162" s="705"/>
      <c r="E162" s="700"/>
      <c r="F162" s="706"/>
      <c r="G162" s="859"/>
      <c r="H162" s="859"/>
      <c r="I162" s="861" t="str">
        <f t="shared" si="19"/>
        <v/>
      </c>
      <c r="J162" s="861" t="str">
        <f t="shared" si="20"/>
        <v/>
      </c>
      <c r="K162" s="861" t="str">
        <f t="shared" si="21"/>
        <v/>
      </c>
      <c r="M162" s="702" t="str">
        <f t="shared" si="22"/>
        <v/>
      </c>
      <c r="N162" s="703" t="str">
        <f t="shared" si="23"/>
        <v/>
      </c>
      <c r="O162" s="703" t="str">
        <f t="shared" si="24"/>
        <v/>
      </c>
      <c r="P162" s="895" t="str">
        <f t="shared" si="25"/>
        <v/>
      </c>
      <c r="Q162" s="703" t="str">
        <f t="shared" si="26"/>
        <v/>
      </c>
      <c r="R162" s="821" t="str">
        <f t="shared" si="27"/>
        <v/>
      </c>
      <c r="S162" s="897"/>
      <c r="T162" s="925"/>
      <c r="U162" s="746"/>
    </row>
    <row r="163" spans="3:21" x14ac:dyDescent="0.25">
      <c r="C163" s="704"/>
      <c r="D163" s="705"/>
      <c r="E163" s="700"/>
      <c r="F163" s="706"/>
      <c r="G163" s="859"/>
      <c r="H163" s="859"/>
      <c r="I163" s="861" t="str">
        <f t="shared" si="19"/>
        <v/>
      </c>
      <c r="J163" s="861" t="str">
        <f t="shared" si="20"/>
        <v/>
      </c>
      <c r="K163" s="861" t="str">
        <f t="shared" si="21"/>
        <v/>
      </c>
      <c r="M163" s="702" t="str">
        <f t="shared" si="22"/>
        <v/>
      </c>
      <c r="N163" s="703" t="str">
        <f t="shared" si="23"/>
        <v/>
      </c>
      <c r="O163" s="703" t="str">
        <f t="shared" si="24"/>
        <v/>
      </c>
      <c r="P163" s="895" t="str">
        <f t="shared" si="25"/>
        <v/>
      </c>
      <c r="Q163" s="703" t="str">
        <f t="shared" si="26"/>
        <v/>
      </c>
      <c r="R163" s="821" t="str">
        <f t="shared" si="27"/>
        <v/>
      </c>
      <c r="S163" s="897"/>
      <c r="T163" s="925"/>
      <c r="U163" s="746"/>
    </row>
    <row r="164" spans="3:21" x14ac:dyDescent="0.25">
      <c r="C164" s="704"/>
      <c r="D164" s="705"/>
      <c r="E164" s="700"/>
      <c r="F164" s="706"/>
      <c r="G164" s="859"/>
      <c r="H164" s="859"/>
      <c r="I164" s="861" t="str">
        <f t="shared" si="19"/>
        <v/>
      </c>
      <c r="J164" s="861" t="str">
        <f t="shared" si="20"/>
        <v/>
      </c>
      <c r="K164" s="861" t="str">
        <f t="shared" si="21"/>
        <v/>
      </c>
      <c r="M164" s="702" t="str">
        <f t="shared" si="22"/>
        <v/>
      </c>
      <c r="N164" s="703" t="str">
        <f t="shared" si="23"/>
        <v/>
      </c>
      <c r="O164" s="703" t="str">
        <f t="shared" si="24"/>
        <v/>
      </c>
      <c r="P164" s="895" t="str">
        <f t="shared" si="25"/>
        <v/>
      </c>
      <c r="Q164" s="703" t="str">
        <f t="shared" si="26"/>
        <v/>
      </c>
      <c r="R164" s="821" t="str">
        <f t="shared" si="27"/>
        <v/>
      </c>
      <c r="S164" s="897"/>
      <c r="T164" s="925"/>
      <c r="U164" s="746"/>
    </row>
    <row r="165" spans="3:21" x14ac:dyDescent="0.25">
      <c r="C165" s="704"/>
      <c r="D165" s="705"/>
      <c r="E165" s="700"/>
      <c r="F165" s="706"/>
      <c r="G165" s="859"/>
      <c r="H165" s="859"/>
      <c r="I165" s="861" t="str">
        <f t="shared" si="19"/>
        <v/>
      </c>
      <c r="J165" s="861" t="str">
        <f t="shared" si="20"/>
        <v/>
      </c>
      <c r="K165" s="861" t="str">
        <f t="shared" si="21"/>
        <v/>
      </c>
      <c r="M165" s="702" t="str">
        <f t="shared" si="22"/>
        <v/>
      </c>
      <c r="N165" s="703" t="str">
        <f t="shared" si="23"/>
        <v/>
      </c>
      <c r="O165" s="703" t="str">
        <f t="shared" si="24"/>
        <v/>
      </c>
      <c r="P165" s="895" t="str">
        <f t="shared" si="25"/>
        <v/>
      </c>
      <c r="Q165" s="703" t="str">
        <f t="shared" si="26"/>
        <v/>
      </c>
      <c r="R165" s="821" t="str">
        <f t="shared" si="27"/>
        <v/>
      </c>
      <c r="S165" s="897"/>
      <c r="T165" s="925"/>
      <c r="U165" s="746"/>
    </row>
    <row r="166" spans="3:21" x14ac:dyDescent="0.25">
      <c r="C166" s="704"/>
      <c r="D166" s="705"/>
      <c r="E166" s="700"/>
      <c r="F166" s="706"/>
      <c r="G166" s="859"/>
      <c r="H166" s="859"/>
      <c r="I166" s="861" t="str">
        <f t="shared" si="19"/>
        <v/>
      </c>
      <c r="J166" s="861" t="str">
        <f t="shared" si="20"/>
        <v/>
      </c>
      <c r="K166" s="861" t="str">
        <f t="shared" si="21"/>
        <v/>
      </c>
      <c r="M166" s="702" t="str">
        <f t="shared" si="22"/>
        <v/>
      </c>
      <c r="N166" s="703" t="str">
        <f t="shared" si="23"/>
        <v/>
      </c>
      <c r="O166" s="703" t="str">
        <f t="shared" si="24"/>
        <v/>
      </c>
      <c r="P166" s="895" t="str">
        <f t="shared" si="25"/>
        <v/>
      </c>
      <c r="Q166" s="703" t="str">
        <f t="shared" si="26"/>
        <v/>
      </c>
      <c r="R166" s="821" t="str">
        <f t="shared" si="27"/>
        <v/>
      </c>
      <c r="S166" s="897"/>
      <c r="T166" s="925"/>
      <c r="U166" s="746"/>
    </row>
    <row r="167" spans="3:21" x14ac:dyDescent="0.25">
      <c r="C167" s="704"/>
      <c r="D167" s="705"/>
      <c r="E167" s="700"/>
      <c r="F167" s="706"/>
      <c r="G167" s="859"/>
      <c r="H167" s="859"/>
      <c r="I167" s="861" t="str">
        <f t="shared" si="19"/>
        <v/>
      </c>
      <c r="J167" s="861" t="str">
        <f t="shared" si="20"/>
        <v/>
      </c>
      <c r="K167" s="861" t="str">
        <f t="shared" si="21"/>
        <v/>
      </c>
      <c r="M167" s="702" t="str">
        <f t="shared" si="22"/>
        <v/>
      </c>
      <c r="N167" s="703" t="str">
        <f t="shared" si="23"/>
        <v/>
      </c>
      <c r="O167" s="703" t="str">
        <f t="shared" si="24"/>
        <v/>
      </c>
      <c r="P167" s="895" t="str">
        <f t="shared" si="25"/>
        <v/>
      </c>
      <c r="Q167" s="703" t="str">
        <f t="shared" si="26"/>
        <v/>
      </c>
      <c r="R167" s="821" t="str">
        <f t="shared" si="27"/>
        <v/>
      </c>
      <c r="S167" s="897"/>
      <c r="T167" s="925"/>
      <c r="U167" s="746"/>
    </row>
    <row r="168" spans="3:21" x14ac:dyDescent="0.25">
      <c r="C168" s="704"/>
      <c r="D168" s="705"/>
      <c r="E168" s="700"/>
      <c r="F168" s="706"/>
      <c r="G168" s="859"/>
      <c r="H168" s="859"/>
      <c r="I168" s="861" t="str">
        <f t="shared" si="19"/>
        <v/>
      </c>
      <c r="J168" s="861" t="str">
        <f t="shared" si="20"/>
        <v/>
      </c>
      <c r="K168" s="861" t="str">
        <f t="shared" si="21"/>
        <v/>
      </c>
      <c r="M168" s="702" t="str">
        <f t="shared" si="22"/>
        <v/>
      </c>
      <c r="N168" s="703" t="str">
        <f t="shared" si="23"/>
        <v/>
      </c>
      <c r="O168" s="703" t="str">
        <f t="shared" si="24"/>
        <v/>
      </c>
      <c r="P168" s="895" t="str">
        <f t="shared" si="25"/>
        <v/>
      </c>
      <c r="Q168" s="703" t="str">
        <f t="shared" si="26"/>
        <v/>
      </c>
      <c r="R168" s="821" t="str">
        <f t="shared" si="27"/>
        <v/>
      </c>
      <c r="S168" s="897"/>
      <c r="T168" s="925"/>
      <c r="U168" s="746"/>
    </row>
    <row r="169" spans="3:21" x14ac:dyDescent="0.25">
      <c r="C169" s="704"/>
      <c r="D169" s="705"/>
      <c r="E169" s="700"/>
      <c r="F169" s="706"/>
      <c r="G169" s="859"/>
      <c r="H169" s="859"/>
      <c r="I169" s="861" t="str">
        <f t="shared" si="19"/>
        <v/>
      </c>
      <c r="J169" s="861" t="str">
        <f t="shared" si="20"/>
        <v/>
      </c>
      <c r="K169" s="861" t="str">
        <f t="shared" si="21"/>
        <v/>
      </c>
      <c r="M169" s="702" t="str">
        <f t="shared" si="22"/>
        <v/>
      </c>
      <c r="N169" s="703" t="str">
        <f t="shared" si="23"/>
        <v/>
      </c>
      <c r="O169" s="703" t="str">
        <f t="shared" si="24"/>
        <v/>
      </c>
      <c r="P169" s="895" t="str">
        <f t="shared" si="25"/>
        <v/>
      </c>
      <c r="Q169" s="703" t="str">
        <f t="shared" si="26"/>
        <v/>
      </c>
      <c r="R169" s="821" t="str">
        <f t="shared" si="27"/>
        <v/>
      </c>
      <c r="S169" s="897"/>
      <c r="T169" s="925"/>
      <c r="U169" s="746"/>
    </row>
    <row r="170" spans="3:21" x14ac:dyDescent="0.25">
      <c r="C170" s="704"/>
      <c r="D170" s="705"/>
      <c r="E170" s="700"/>
      <c r="F170" s="706"/>
      <c r="G170" s="859"/>
      <c r="H170" s="859"/>
      <c r="I170" s="861" t="str">
        <f t="shared" si="19"/>
        <v/>
      </c>
      <c r="J170" s="861" t="str">
        <f t="shared" si="20"/>
        <v/>
      </c>
      <c r="K170" s="861" t="str">
        <f t="shared" si="21"/>
        <v/>
      </c>
      <c r="M170" s="702" t="str">
        <f t="shared" si="22"/>
        <v/>
      </c>
      <c r="N170" s="703" t="str">
        <f t="shared" si="23"/>
        <v/>
      </c>
      <c r="O170" s="703" t="str">
        <f t="shared" si="24"/>
        <v/>
      </c>
      <c r="P170" s="895" t="str">
        <f t="shared" si="25"/>
        <v/>
      </c>
      <c r="Q170" s="703" t="str">
        <f t="shared" si="26"/>
        <v/>
      </c>
      <c r="R170" s="821" t="str">
        <f t="shared" si="27"/>
        <v/>
      </c>
      <c r="S170" s="897"/>
      <c r="T170" s="925"/>
      <c r="U170" s="746"/>
    </row>
    <row r="171" spans="3:21" x14ac:dyDescent="0.25">
      <c r="C171" s="704"/>
      <c r="D171" s="705"/>
      <c r="E171" s="700"/>
      <c r="F171" s="706"/>
      <c r="G171" s="859"/>
      <c r="H171" s="859"/>
      <c r="I171" s="861" t="str">
        <f t="shared" si="19"/>
        <v/>
      </c>
      <c r="J171" s="861" t="str">
        <f t="shared" si="20"/>
        <v/>
      </c>
      <c r="K171" s="861" t="str">
        <f t="shared" si="21"/>
        <v/>
      </c>
      <c r="M171" s="702" t="str">
        <f t="shared" si="22"/>
        <v/>
      </c>
      <c r="N171" s="703" t="str">
        <f t="shared" si="23"/>
        <v/>
      </c>
      <c r="O171" s="703" t="str">
        <f t="shared" si="24"/>
        <v/>
      </c>
      <c r="P171" s="895" t="str">
        <f t="shared" si="25"/>
        <v/>
      </c>
      <c r="Q171" s="703" t="str">
        <f t="shared" si="26"/>
        <v/>
      </c>
      <c r="R171" s="821" t="str">
        <f t="shared" si="27"/>
        <v/>
      </c>
      <c r="S171" s="897"/>
      <c r="T171" s="925"/>
      <c r="U171" s="746"/>
    </row>
    <row r="172" spans="3:21" x14ac:dyDescent="0.25">
      <c r="C172" s="704"/>
      <c r="D172" s="705"/>
      <c r="E172" s="700"/>
      <c r="F172" s="706"/>
      <c r="G172" s="859"/>
      <c r="H172" s="859"/>
      <c r="I172" s="861" t="str">
        <f t="shared" si="19"/>
        <v/>
      </c>
      <c r="J172" s="861" t="str">
        <f t="shared" si="20"/>
        <v/>
      </c>
      <c r="K172" s="861" t="str">
        <f t="shared" si="21"/>
        <v/>
      </c>
      <c r="M172" s="702" t="str">
        <f t="shared" si="22"/>
        <v/>
      </c>
      <c r="N172" s="703" t="str">
        <f t="shared" si="23"/>
        <v/>
      </c>
      <c r="O172" s="703" t="str">
        <f t="shared" si="24"/>
        <v/>
      </c>
      <c r="P172" s="895" t="str">
        <f t="shared" si="25"/>
        <v/>
      </c>
      <c r="Q172" s="703" t="str">
        <f t="shared" si="26"/>
        <v/>
      </c>
      <c r="R172" s="821" t="str">
        <f t="shared" si="27"/>
        <v/>
      </c>
      <c r="S172" s="897"/>
      <c r="T172" s="925"/>
      <c r="U172" s="746"/>
    </row>
    <row r="173" spans="3:21" x14ac:dyDescent="0.25">
      <c r="C173" s="704"/>
      <c r="D173" s="705"/>
      <c r="E173" s="700"/>
      <c r="F173" s="706"/>
      <c r="G173" s="859"/>
      <c r="H173" s="859"/>
      <c r="I173" s="861" t="str">
        <f t="shared" si="19"/>
        <v/>
      </c>
      <c r="J173" s="861" t="str">
        <f t="shared" si="20"/>
        <v/>
      </c>
      <c r="K173" s="861" t="str">
        <f t="shared" si="21"/>
        <v/>
      </c>
      <c r="M173" s="702" t="str">
        <f t="shared" si="22"/>
        <v/>
      </c>
      <c r="N173" s="703" t="str">
        <f t="shared" si="23"/>
        <v/>
      </c>
      <c r="O173" s="703" t="str">
        <f t="shared" si="24"/>
        <v/>
      </c>
      <c r="P173" s="895" t="str">
        <f t="shared" si="25"/>
        <v/>
      </c>
      <c r="Q173" s="703" t="str">
        <f t="shared" si="26"/>
        <v/>
      </c>
      <c r="R173" s="821" t="str">
        <f t="shared" si="27"/>
        <v/>
      </c>
      <c r="S173" s="897"/>
      <c r="T173" s="925"/>
      <c r="U173" s="746"/>
    </row>
    <row r="174" spans="3:21" x14ac:dyDescent="0.25">
      <c r="C174" s="704"/>
      <c r="D174" s="705"/>
      <c r="E174" s="700"/>
      <c r="F174" s="706"/>
      <c r="G174" s="859"/>
      <c r="H174" s="859"/>
      <c r="I174" s="861" t="str">
        <f t="shared" si="19"/>
        <v/>
      </c>
      <c r="J174" s="861" t="str">
        <f t="shared" si="20"/>
        <v/>
      </c>
      <c r="K174" s="861" t="str">
        <f t="shared" si="21"/>
        <v/>
      </c>
      <c r="M174" s="702" t="str">
        <f t="shared" si="22"/>
        <v/>
      </c>
      <c r="N174" s="703" t="str">
        <f t="shared" si="23"/>
        <v/>
      </c>
      <c r="O174" s="703" t="str">
        <f t="shared" si="24"/>
        <v/>
      </c>
      <c r="P174" s="895" t="str">
        <f t="shared" si="25"/>
        <v/>
      </c>
      <c r="Q174" s="703" t="str">
        <f t="shared" si="26"/>
        <v/>
      </c>
      <c r="R174" s="821" t="str">
        <f t="shared" si="27"/>
        <v/>
      </c>
      <c r="S174" s="897"/>
      <c r="T174" s="925"/>
      <c r="U174" s="746"/>
    </row>
    <row r="175" spans="3:21" x14ac:dyDescent="0.25">
      <c r="C175" s="704"/>
      <c r="D175" s="705"/>
      <c r="E175" s="700"/>
      <c r="F175" s="706"/>
      <c r="G175" s="859"/>
      <c r="H175" s="859"/>
      <c r="I175" s="861" t="str">
        <f t="shared" si="19"/>
        <v/>
      </c>
      <c r="J175" s="861" t="str">
        <f t="shared" si="20"/>
        <v/>
      </c>
      <c r="K175" s="861" t="str">
        <f t="shared" si="21"/>
        <v/>
      </c>
      <c r="M175" s="702" t="str">
        <f t="shared" si="22"/>
        <v/>
      </c>
      <c r="N175" s="703" t="str">
        <f t="shared" si="23"/>
        <v/>
      </c>
      <c r="O175" s="703" t="str">
        <f t="shared" si="24"/>
        <v/>
      </c>
      <c r="P175" s="895" t="str">
        <f t="shared" si="25"/>
        <v/>
      </c>
      <c r="Q175" s="703" t="str">
        <f t="shared" si="26"/>
        <v/>
      </c>
      <c r="R175" s="821" t="str">
        <f t="shared" si="27"/>
        <v/>
      </c>
      <c r="S175" s="897"/>
      <c r="T175" s="925"/>
      <c r="U175" s="746"/>
    </row>
    <row r="176" spans="3:21" x14ac:dyDescent="0.25">
      <c r="C176" s="704"/>
      <c r="D176" s="705"/>
      <c r="E176" s="700"/>
      <c r="F176" s="706"/>
      <c r="G176" s="859"/>
      <c r="H176" s="859"/>
      <c r="I176" s="861" t="str">
        <f t="shared" si="19"/>
        <v/>
      </c>
      <c r="J176" s="861" t="str">
        <f t="shared" si="20"/>
        <v/>
      </c>
      <c r="K176" s="861" t="str">
        <f t="shared" si="21"/>
        <v/>
      </c>
      <c r="M176" s="702" t="str">
        <f t="shared" si="22"/>
        <v/>
      </c>
      <c r="N176" s="703" t="str">
        <f t="shared" si="23"/>
        <v/>
      </c>
      <c r="O176" s="703" t="str">
        <f t="shared" si="24"/>
        <v/>
      </c>
      <c r="P176" s="895" t="str">
        <f t="shared" si="25"/>
        <v/>
      </c>
      <c r="Q176" s="703" t="str">
        <f t="shared" si="26"/>
        <v/>
      </c>
      <c r="R176" s="821" t="str">
        <f t="shared" si="27"/>
        <v/>
      </c>
      <c r="S176" s="897"/>
      <c r="T176" s="925"/>
      <c r="U176" s="746"/>
    </row>
    <row r="177" spans="3:21" x14ac:dyDescent="0.25">
      <c r="C177" s="704"/>
      <c r="D177" s="705"/>
      <c r="E177" s="700"/>
      <c r="F177" s="706"/>
      <c r="G177" s="859"/>
      <c r="H177" s="859"/>
      <c r="I177" s="861" t="str">
        <f t="shared" si="19"/>
        <v/>
      </c>
      <c r="J177" s="861" t="str">
        <f t="shared" si="20"/>
        <v/>
      </c>
      <c r="K177" s="861" t="str">
        <f t="shared" si="21"/>
        <v/>
      </c>
      <c r="M177" s="702" t="str">
        <f t="shared" si="22"/>
        <v/>
      </c>
      <c r="N177" s="703" t="str">
        <f t="shared" si="23"/>
        <v/>
      </c>
      <c r="O177" s="703" t="str">
        <f t="shared" si="24"/>
        <v/>
      </c>
      <c r="P177" s="895" t="str">
        <f t="shared" si="25"/>
        <v/>
      </c>
      <c r="Q177" s="703" t="str">
        <f t="shared" si="26"/>
        <v/>
      </c>
      <c r="R177" s="821" t="str">
        <f t="shared" si="27"/>
        <v/>
      </c>
      <c r="S177" s="897"/>
      <c r="T177" s="925"/>
      <c r="U177" s="746"/>
    </row>
    <row r="178" spans="3:21" x14ac:dyDescent="0.25">
      <c r="C178" s="704"/>
      <c r="D178" s="705"/>
      <c r="E178" s="700"/>
      <c r="F178" s="706"/>
      <c r="G178" s="859"/>
      <c r="H178" s="859"/>
      <c r="I178" s="861" t="str">
        <f t="shared" si="19"/>
        <v/>
      </c>
      <c r="J178" s="861" t="str">
        <f t="shared" si="20"/>
        <v/>
      </c>
      <c r="K178" s="861" t="str">
        <f t="shared" si="21"/>
        <v/>
      </c>
      <c r="M178" s="702" t="str">
        <f t="shared" si="22"/>
        <v/>
      </c>
      <c r="N178" s="703" t="str">
        <f t="shared" si="23"/>
        <v/>
      </c>
      <c r="O178" s="703" t="str">
        <f t="shared" si="24"/>
        <v/>
      </c>
      <c r="P178" s="895" t="str">
        <f t="shared" si="25"/>
        <v/>
      </c>
      <c r="Q178" s="703" t="str">
        <f t="shared" si="26"/>
        <v/>
      </c>
      <c r="R178" s="821" t="str">
        <f t="shared" si="27"/>
        <v/>
      </c>
      <c r="S178" s="897"/>
      <c r="T178" s="925"/>
      <c r="U178" s="746"/>
    </row>
    <row r="179" spans="3:21" x14ac:dyDescent="0.25">
      <c r="C179" s="704"/>
      <c r="D179" s="705"/>
      <c r="E179" s="700"/>
      <c r="F179" s="706"/>
      <c r="G179" s="859"/>
      <c r="H179" s="859"/>
      <c r="I179" s="861" t="str">
        <f t="shared" si="19"/>
        <v/>
      </c>
      <c r="J179" s="861" t="str">
        <f t="shared" si="20"/>
        <v/>
      </c>
      <c r="K179" s="861" t="str">
        <f t="shared" si="21"/>
        <v/>
      </c>
      <c r="M179" s="702" t="str">
        <f t="shared" si="22"/>
        <v/>
      </c>
      <c r="N179" s="703" t="str">
        <f t="shared" si="23"/>
        <v/>
      </c>
      <c r="O179" s="703" t="str">
        <f t="shared" si="24"/>
        <v/>
      </c>
      <c r="P179" s="895" t="str">
        <f t="shared" si="25"/>
        <v/>
      </c>
      <c r="Q179" s="703" t="str">
        <f t="shared" si="26"/>
        <v/>
      </c>
      <c r="R179" s="821" t="str">
        <f t="shared" si="27"/>
        <v/>
      </c>
      <c r="S179" s="897"/>
      <c r="T179" s="925"/>
      <c r="U179" s="746"/>
    </row>
    <row r="180" spans="3:21" x14ac:dyDescent="0.25">
      <c r="C180" s="704"/>
      <c r="D180" s="705"/>
      <c r="E180" s="700"/>
      <c r="F180" s="706"/>
      <c r="G180" s="859"/>
      <c r="H180" s="859"/>
      <c r="I180" s="861" t="str">
        <f t="shared" si="19"/>
        <v/>
      </c>
      <c r="J180" s="861" t="str">
        <f t="shared" si="20"/>
        <v/>
      </c>
      <c r="K180" s="861" t="str">
        <f t="shared" si="21"/>
        <v/>
      </c>
      <c r="M180" s="702" t="str">
        <f t="shared" si="22"/>
        <v/>
      </c>
      <c r="N180" s="703" t="str">
        <f t="shared" si="23"/>
        <v/>
      </c>
      <c r="O180" s="703" t="str">
        <f t="shared" si="24"/>
        <v/>
      </c>
      <c r="P180" s="895" t="str">
        <f t="shared" si="25"/>
        <v/>
      </c>
      <c r="Q180" s="703" t="str">
        <f t="shared" si="26"/>
        <v/>
      </c>
      <c r="R180" s="821" t="str">
        <f t="shared" si="27"/>
        <v/>
      </c>
      <c r="S180" s="897"/>
      <c r="T180" s="925"/>
      <c r="U180" s="746"/>
    </row>
    <row r="181" spans="3:21" x14ac:dyDescent="0.25">
      <c r="C181" s="704"/>
      <c r="D181" s="705"/>
      <c r="E181" s="700"/>
      <c r="F181" s="706"/>
      <c r="G181" s="859"/>
      <c r="H181" s="859"/>
      <c r="I181" s="861" t="str">
        <f t="shared" si="19"/>
        <v/>
      </c>
      <c r="J181" s="861" t="str">
        <f t="shared" si="20"/>
        <v/>
      </c>
      <c r="K181" s="861" t="str">
        <f t="shared" si="21"/>
        <v/>
      </c>
      <c r="M181" s="702" t="str">
        <f t="shared" si="22"/>
        <v/>
      </c>
      <c r="N181" s="703" t="str">
        <f t="shared" si="23"/>
        <v/>
      </c>
      <c r="O181" s="703" t="str">
        <f t="shared" si="24"/>
        <v/>
      </c>
      <c r="P181" s="895" t="str">
        <f t="shared" si="25"/>
        <v/>
      </c>
      <c r="Q181" s="703" t="str">
        <f t="shared" si="26"/>
        <v/>
      </c>
      <c r="R181" s="821" t="str">
        <f t="shared" si="27"/>
        <v/>
      </c>
      <c r="S181" s="897"/>
      <c r="T181" s="925"/>
      <c r="U181" s="746"/>
    </row>
    <row r="182" spans="3:21" x14ac:dyDescent="0.25">
      <c r="C182" s="704"/>
      <c r="D182" s="705"/>
      <c r="E182" s="700"/>
      <c r="F182" s="706"/>
      <c r="G182" s="859"/>
      <c r="H182" s="859"/>
      <c r="I182" s="861" t="str">
        <f t="shared" si="19"/>
        <v/>
      </c>
      <c r="J182" s="861" t="str">
        <f t="shared" si="20"/>
        <v/>
      </c>
      <c r="K182" s="861" t="str">
        <f t="shared" si="21"/>
        <v/>
      </c>
      <c r="M182" s="702" t="str">
        <f t="shared" si="22"/>
        <v/>
      </c>
      <c r="N182" s="703" t="str">
        <f t="shared" si="23"/>
        <v/>
      </c>
      <c r="O182" s="703" t="str">
        <f t="shared" si="24"/>
        <v/>
      </c>
      <c r="P182" s="895" t="str">
        <f t="shared" si="25"/>
        <v/>
      </c>
      <c r="Q182" s="703" t="str">
        <f t="shared" si="26"/>
        <v/>
      </c>
      <c r="R182" s="821" t="str">
        <f t="shared" si="27"/>
        <v/>
      </c>
      <c r="S182" s="897"/>
      <c r="T182" s="925"/>
      <c r="U182" s="746"/>
    </row>
    <row r="183" spans="3:21" x14ac:dyDescent="0.25">
      <c r="C183" s="704"/>
      <c r="D183" s="705"/>
      <c r="E183" s="700"/>
      <c r="F183" s="706"/>
      <c r="G183" s="859"/>
      <c r="H183" s="859"/>
      <c r="I183" s="861" t="str">
        <f t="shared" si="19"/>
        <v/>
      </c>
      <c r="J183" s="861" t="str">
        <f t="shared" si="20"/>
        <v/>
      </c>
      <c r="K183" s="861" t="str">
        <f t="shared" si="21"/>
        <v/>
      </c>
      <c r="M183" s="702" t="str">
        <f t="shared" si="22"/>
        <v/>
      </c>
      <c r="N183" s="703" t="str">
        <f t="shared" si="23"/>
        <v/>
      </c>
      <c r="O183" s="703" t="str">
        <f t="shared" si="24"/>
        <v/>
      </c>
      <c r="P183" s="895" t="str">
        <f t="shared" si="25"/>
        <v/>
      </c>
      <c r="Q183" s="703" t="str">
        <f t="shared" si="26"/>
        <v/>
      </c>
      <c r="R183" s="821" t="str">
        <f t="shared" si="27"/>
        <v/>
      </c>
      <c r="S183" s="897"/>
      <c r="T183" s="925"/>
      <c r="U183" s="746"/>
    </row>
    <row r="184" spans="3:21" x14ac:dyDescent="0.25">
      <c r="C184" s="704"/>
      <c r="D184" s="705"/>
      <c r="E184" s="700"/>
      <c r="F184" s="706"/>
      <c r="G184" s="859"/>
      <c r="H184" s="859"/>
      <c r="I184" s="861" t="str">
        <f t="shared" si="19"/>
        <v/>
      </c>
      <c r="J184" s="861" t="str">
        <f t="shared" si="20"/>
        <v/>
      </c>
      <c r="K184" s="861" t="str">
        <f t="shared" si="21"/>
        <v/>
      </c>
      <c r="M184" s="702" t="str">
        <f t="shared" si="22"/>
        <v/>
      </c>
      <c r="N184" s="703" t="str">
        <f t="shared" si="23"/>
        <v/>
      </c>
      <c r="O184" s="703" t="str">
        <f t="shared" si="24"/>
        <v/>
      </c>
      <c r="P184" s="895" t="str">
        <f t="shared" si="25"/>
        <v/>
      </c>
      <c r="Q184" s="703" t="str">
        <f t="shared" si="26"/>
        <v/>
      </c>
      <c r="R184" s="821" t="str">
        <f t="shared" si="27"/>
        <v/>
      </c>
      <c r="S184" s="897"/>
      <c r="T184" s="925"/>
      <c r="U184" s="746"/>
    </row>
    <row r="185" spans="3:21" x14ac:dyDescent="0.25">
      <c r="C185" s="704"/>
      <c r="D185" s="705"/>
      <c r="E185" s="700"/>
      <c r="F185" s="706"/>
      <c r="G185" s="859"/>
      <c r="H185" s="859"/>
      <c r="I185" s="861" t="str">
        <f t="shared" si="19"/>
        <v/>
      </c>
      <c r="J185" s="861" t="str">
        <f t="shared" si="20"/>
        <v/>
      </c>
      <c r="K185" s="861" t="str">
        <f t="shared" si="21"/>
        <v/>
      </c>
      <c r="M185" s="702" t="str">
        <f t="shared" si="22"/>
        <v/>
      </c>
      <c r="N185" s="703" t="str">
        <f t="shared" si="23"/>
        <v/>
      </c>
      <c r="O185" s="703" t="str">
        <f t="shared" si="24"/>
        <v/>
      </c>
      <c r="P185" s="895" t="str">
        <f t="shared" si="25"/>
        <v/>
      </c>
      <c r="Q185" s="703" t="str">
        <f t="shared" si="26"/>
        <v/>
      </c>
      <c r="R185" s="821" t="str">
        <f t="shared" si="27"/>
        <v/>
      </c>
      <c r="S185" s="897"/>
      <c r="T185" s="925"/>
      <c r="U185" s="746"/>
    </row>
    <row r="186" spans="3:21" x14ac:dyDescent="0.25">
      <c r="C186" s="704"/>
      <c r="D186" s="705"/>
      <c r="E186" s="700"/>
      <c r="F186" s="706"/>
      <c r="G186" s="859"/>
      <c r="H186" s="859"/>
      <c r="I186" s="861" t="str">
        <f t="shared" si="19"/>
        <v/>
      </c>
      <c r="J186" s="861" t="str">
        <f t="shared" si="20"/>
        <v/>
      </c>
      <c r="K186" s="861" t="str">
        <f t="shared" si="21"/>
        <v/>
      </c>
      <c r="M186" s="702" t="str">
        <f t="shared" si="22"/>
        <v/>
      </c>
      <c r="N186" s="703" t="str">
        <f t="shared" si="23"/>
        <v/>
      </c>
      <c r="O186" s="703" t="str">
        <f t="shared" si="24"/>
        <v/>
      </c>
      <c r="P186" s="895" t="str">
        <f t="shared" si="25"/>
        <v/>
      </c>
      <c r="Q186" s="703" t="str">
        <f t="shared" si="26"/>
        <v/>
      </c>
      <c r="R186" s="821" t="str">
        <f t="shared" si="27"/>
        <v/>
      </c>
      <c r="S186" s="897"/>
      <c r="T186" s="925"/>
      <c r="U186" s="746"/>
    </row>
    <row r="187" spans="3:21" x14ac:dyDescent="0.25">
      <c r="C187" s="704"/>
      <c r="D187" s="705"/>
      <c r="E187" s="700"/>
      <c r="F187" s="706"/>
      <c r="G187" s="859"/>
      <c r="H187" s="859"/>
      <c r="I187" s="861" t="str">
        <f t="shared" si="19"/>
        <v/>
      </c>
      <c r="J187" s="861" t="str">
        <f t="shared" si="20"/>
        <v/>
      </c>
      <c r="K187" s="861" t="str">
        <f t="shared" si="21"/>
        <v/>
      </c>
      <c r="M187" s="702" t="str">
        <f t="shared" si="22"/>
        <v/>
      </c>
      <c r="N187" s="703" t="str">
        <f t="shared" ref="N187:N218" si="28">IFERROR(INDEX(CNTR_FuelListIsZero, MATCH(E187, CNTR_FuelListNames, 0)),"")</f>
        <v/>
      </c>
      <c r="O187" s="703" t="str">
        <f t="shared" ref="O187:O218" si="29">IF(E187="","",IFERROR(NOT(ISNUMBER(INDEX(CNTR_FuelListSupportRate, MATCH(E187, CNTR_FuelListNames, 0)))),  ""))</f>
        <v/>
      </c>
      <c r="P187" s="895" t="str">
        <f t="shared" ref="P187:P218" si="30">IFERROR( OR( INDEX(CNTR_FuelListCompleteData, MATCH(E187, CNTR_FuelListNames, 0)) = FALSE,   INDEX(CNTR_FuelListIsFossil, MATCH(E187, CNTR_FuelListNames, 0)) = TRUE),  "")</f>
        <v/>
      </c>
      <c r="Q187" s="703" t="str">
        <f t="shared" ref="Q187:Q218" si="31">IFERROR(IF(INDEX(CNTR_FuelListSubType, MATCH(E187, CNTR_FuelListNames, 0)) = "",  "",  INDEX(CNTR_FuelListSubType, MATCH(E187, CNTR_FuelListNames, 0))),  "")</f>
        <v/>
      </c>
      <c r="R187" s="821" t="str">
        <f t="shared" ref="R187:R218" si="32">IFERROR(IF( AND(D187=TRUE, ISNUMBER(INDEX(CNTR_FuelListSupportRate, MATCH( E187, CNTR_FuelListNames, 0)))),   1,   INDEX(CNTR_FuelListSupportRate, MATCH(E187, CNTR_FuelListNames, 0))),  "")</f>
        <v/>
      </c>
      <c r="S187" s="897"/>
      <c r="T187" s="925"/>
      <c r="U187" s="746"/>
    </row>
    <row r="188" spans="3:21" x14ac:dyDescent="0.25">
      <c r="C188" s="704"/>
      <c r="D188" s="705"/>
      <c r="E188" s="700"/>
      <c r="F188" s="706"/>
      <c r="G188" s="859"/>
      <c r="H188" s="859"/>
      <c r="I188" s="861" t="str">
        <f t="shared" ref="I188:I251" si="33">IF(ISNUMBER($F188), IFERROR($F188*G188,"--"),"")</f>
        <v/>
      </c>
      <c r="J188" s="861" t="str">
        <f t="shared" ref="J188:J251" si="34">IF(AND(ISNUMBER($F188),N188=TRUE), IFERROR($F188*G188,"--"),"")</f>
        <v/>
      </c>
      <c r="K188" s="861" t="str">
        <f t="shared" ref="K188:K251" si="35">IF(ISNUMBER($F188), IFERROR($F188*H188,"--"),"")</f>
        <v/>
      </c>
      <c r="M188" s="702" t="str">
        <f t="shared" ref="M188:M251" si="36">IF(E188="","", IFERROR(IF(N188 = FALSE,  TRUE,  FALSE),  ""))</f>
        <v/>
      </c>
      <c r="N188" s="703" t="str">
        <f t="shared" si="28"/>
        <v/>
      </c>
      <c r="O188" s="703" t="str">
        <f t="shared" si="29"/>
        <v/>
      </c>
      <c r="P188" s="895" t="str">
        <f t="shared" si="30"/>
        <v/>
      </c>
      <c r="Q188" s="703" t="str">
        <f t="shared" si="31"/>
        <v/>
      </c>
      <c r="R188" s="821" t="str">
        <f t="shared" si="32"/>
        <v/>
      </c>
      <c r="S188" s="897"/>
      <c r="T188" s="925"/>
      <c r="U188" s="746"/>
    </row>
    <row r="189" spans="3:21" x14ac:dyDescent="0.25">
      <c r="C189" s="704"/>
      <c r="D189" s="705"/>
      <c r="E189" s="700"/>
      <c r="F189" s="706"/>
      <c r="G189" s="859"/>
      <c r="H189" s="859"/>
      <c r="I189" s="861" t="str">
        <f t="shared" si="33"/>
        <v/>
      </c>
      <c r="J189" s="861" t="str">
        <f t="shared" si="34"/>
        <v/>
      </c>
      <c r="K189" s="861" t="str">
        <f t="shared" si="35"/>
        <v/>
      </c>
      <c r="M189" s="702" t="str">
        <f t="shared" si="36"/>
        <v/>
      </c>
      <c r="N189" s="703" t="str">
        <f t="shared" si="28"/>
        <v/>
      </c>
      <c r="O189" s="703" t="str">
        <f t="shared" si="29"/>
        <v/>
      </c>
      <c r="P189" s="895" t="str">
        <f t="shared" si="30"/>
        <v/>
      </c>
      <c r="Q189" s="703" t="str">
        <f t="shared" si="31"/>
        <v/>
      </c>
      <c r="R189" s="821" t="str">
        <f t="shared" si="32"/>
        <v/>
      </c>
      <c r="S189" s="897"/>
      <c r="T189" s="925"/>
      <c r="U189" s="746"/>
    </row>
    <row r="190" spans="3:21" x14ac:dyDescent="0.25">
      <c r="C190" s="704"/>
      <c r="D190" s="705"/>
      <c r="E190" s="700"/>
      <c r="F190" s="706"/>
      <c r="G190" s="859"/>
      <c r="H190" s="859"/>
      <c r="I190" s="861" t="str">
        <f t="shared" si="33"/>
        <v/>
      </c>
      <c r="J190" s="861" t="str">
        <f t="shared" si="34"/>
        <v/>
      </c>
      <c r="K190" s="861" t="str">
        <f t="shared" si="35"/>
        <v/>
      </c>
      <c r="M190" s="702" t="str">
        <f t="shared" si="36"/>
        <v/>
      </c>
      <c r="N190" s="703" t="str">
        <f t="shared" si="28"/>
        <v/>
      </c>
      <c r="O190" s="703" t="str">
        <f t="shared" si="29"/>
        <v/>
      </c>
      <c r="P190" s="895" t="str">
        <f t="shared" si="30"/>
        <v/>
      </c>
      <c r="Q190" s="703" t="str">
        <f t="shared" si="31"/>
        <v/>
      </c>
      <c r="R190" s="821" t="str">
        <f t="shared" si="32"/>
        <v/>
      </c>
      <c r="S190" s="897"/>
      <c r="T190" s="925"/>
      <c r="U190" s="746"/>
    </row>
    <row r="191" spans="3:21" x14ac:dyDescent="0.25">
      <c r="C191" s="704"/>
      <c r="D191" s="705"/>
      <c r="E191" s="700"/>
      <c r="F191" s="706"/>
      <c r="G191" s="859"/>
      <c r="H191" s="859"/>
      <c r="I191" s="861" t="str">
        <f t="shared" si="33"/>
        <v/>
      </c>
      <c r="J191" s="861" t="str">
        <f t="shared" si="34"/>
        <v/>
      </c>
      <c r="K191" s="861" t="str">
        <f t="shared" si="35"/>
        <v/>
      </c>
      <c r="M191" s="702" t="str">
        <f t="shared" si="36"/>
        <v/>
      </c>
      <c r="N191" s="703" t="str">
        <f t="shared" si="28"/>
        <v/>
      </c>
      <c r="O191" s="703" t="str">
        <f t="shared" si="29"/>
        <v/>
      </c>
      <c r="P191" s="895" t="str">
        <f t="shared" si="30"/>
        <v/>
      </c>
      <c r="Q191" s="703" t="str">
        <f t="shared" si="31"/>
        <v/>
      </c>
      <c r="R191" s="821" t="str">
        <f t="shared" si="32"/>
        <v/>
      </c>
      <c r="S191" s="897"/>
      <c r="T191" s="925"/>
      <c r="U191" s="746"/>
    </row>
    <row r="192" spans="3:21" x14ac:dyDescent="0.25">
      <c r="C192" s="704"/>
      <c r="D192" s="705"/>
      <c r="E192" s="700"/>
      <c r="F192" s="706"/>
      <c r="G192" s="859"/>
      <c r="H192" s="859"/>
      <c r="I192" s="861" t="str">
        <f t="shared" si="33"/>
        <v/>
      </c>
      <c r="J192" s="861" t="str">
        <f t="shared" si="34"/>
        <v/>
      </c>
      <c r="K192" s="861" t="str">
        <f t="shared" si="35"/>
        <v/>
      </c>
      <c r="M192" s="702" t="str">
        <f t="shared" si="36"/>
        <v/>
      </c>
      <c r="N192" s="703" t="str">
        <f t="shared" si="28"/>
        <v/>
      </c>
      <c r="O192" s="703" t="str">
        <f t="shared" si="29"/>
        <v/>
      </c>
      <c r="P192" s="895" t="str">
        <f t="shared" si="30"/>
        <v/>
      </c>
      <c r="Q192" s="703" t="str">
        <f t="shared" si="31"/>
        <v/>
      </c>
      <c r="R192" s="821" t="str">
        <f t="shared" si="32"/>
        <v/>
      </c>
      <c r="S192" s="897"/>
      <c r="T192" s="925"/>
      <c r="U192" s="746"/>
    </row>
    <row r="193" spans="3:21" x14ac:dyDescent="0.25">
      <c r="C193" s="704"/>
      <c r="D193" s="705"/>
      <c r="E193" s="700"/>
      <c r="F193" s="706"/>
      <c r="G193" s="859"/>
      <c r="H193" s="859"/>
      <c r="I193" s="861" t="str">
        <f t="shared" si="33"/>
        <v/>
      </c>
      <c r="J193" s="861" t="str">
        <f t="shared" si="34"/>
        <v/>
      </c>
      <c r="K193" s="861" t="str">
        <f t="shared" si="35"/>
        <v/>
      </c>
      <c r="M193" s="702" t="str">
        <f t="shared" si="36"/>
        <v/>
      </c>
      <c r="N193" s="703" t="str">
        <f t="shared" si="28"/>
        <v/>
      </c>
      <c r="O193" s="703" t="str">
        <f t="shared" si="29"/>
        <v/>
      </c>
      <c r="P193" s="895" t="str">
        <f t="shared" si="30"/>
        <v/>
      </c>
      <c r="Q193" s="703" t="str">
        <f t="shared" si="31"/>
        <v/>
      </c>
      <c r="R193" s="821" t="str">
        <f t="shared" si="32"/>
        <v/>
      </c>
      <c r="S193" s="897"/>
      <c r="T193" s="925"/>
      <c r="U193" s="746"/>
    </row>
    <row r="194" spans="3:21" x14ac:dyDescent="0.25">
      <c r="C194" s="704"/>
      <c r="D194" s="705"/>
      <c r="E194" s="700"/>
      <c r="F194" s="706"/>
      <c r="G194" s="859"/>
      <c r="H194" s="859"/>
      <c r="I194" s="861" t="str">
        <f t="shared" si="33"/>
        <v/>
      </c>
      <c r="J194" s="861" t="str">
        <f t="shared" si="34"/>
        <v/>
      </c>
      <c r="K194" s="861" t="str">
        <f t="shared" si="35"/>
        <v/>
      </c>
      <c r="M194" s="702" t="str">
        <f t="shared" si="36"/>
        <v/>
      </c>
      <c r="N194" s="703" t="str">
        <f t="shared" si="28"/>
        <v/>
      </c>
      <c r="O194" s="703" t="str">
        <f t="shared" si="29"/>
        <v/>
      </c>
      <c r="P194" s="895" t="str">
        <f t="shared" si="30"/>
        <v/>
      </c>
      <c r="Q194" s="703" t="str">
        <f t="shared" si="31"/>
        <v/>
      </c>
      <c r="R194" s="821" t="str">
        <f t="shared" si="32"/>
        <v/>
      </c>
      <c r="S194" s="897"/>
      <c r="T194" s="925"/>
      <c r="U194" s="746"/>
    </row>
    <row r="195" spans="3:21" x14ac:dyDescent="0.25">
      <c r="C195" s="704"/>
      <c r="D195" s="705"/>
      <c r="E195" s="700"/>
      <c r="F195" s="706"/>
      <c r="G195" s="859"/>
      <c r="H195" s="859"/>
      <c r="I195" s="861" t="str">
        <f t="shared" si="33"/>
        <v/>
      </c>
      <c r="J195" s="861" t="str">
        <f t="shared" si="34"/>
        <v/>
      </c>
      <c r="K195" s="861" t="str">
        <f t="shared" si="35"/>
        <v/>
      </c>
      <c r="M195" s="702" t="str">
        <f t="shared" si="36"/>
        <v/>
      </c>
      <c r="N195" s="703" t="str">
        <f t="shared" si="28"/>
        <v/>
      </c>
      <c r="O195" s="703" t="str">
        <f t="shared" si="29"/>
        <v/>
      </c>
      <c r="P195" s="895" t="str">
        <f t="shared" si="30"/>
        <v/>
      </c>
      <c r="Q195" s="703" t="str">
        <f t="shared" si="31"/>
        <v/>
      </c>
      <c r="R195" s="821" t="str">
        <f t="shared" si="32"/>
        <v/>
      </c>
      <c r="S195" s="897"/>
      <c r="T195" s="925"/>
      <c r="U195" s="746"/>
    </row>
    <row r="196" spans="3:21" x14ac:dyDescent="0.25">
      <c r="C196" s="704"/>
      <c r="D196" s="705"/>
      <c r="E196" s="700"/>
      <c r="F196" s="706"/>
      <c r="G196" s="859"/>
      <c r="H196" s="859"/>
      <c r="I196" s="861" t="str">
        <f t="shared" si="33"/>
        <v/>
      </c>
      <c r="J196" s="861" t="str">
        <f t="shared" si="34"/>
        <v/>
      </c>
      <c r="K196" s="861" t="str">
        <f t="shared" si="35"/>
        <v/>
      </c>
      <c r="M196" s="702" t="str">
        <f t="shared" si="36"/>
        <v/>
      </c>
      <c r="N196" s="703" t="str">
        <f t="shared" si="28"/>
        <v/>
      </c>
      <c r="O196" s="703" t="str">
        <f t="shared" si="29"/>
        <v/>
      </c>
      <c r="P196" s="895" t="str">
        <f t="shared" si="30"/>
        <v/>
      </c>
      <c r="Q196" s="703" t="str">
        <f t="shared" si="31"/>
        <v/>
      </c>
      <c r="R196" s="821" t="str">
        <f t="shared" si="32"/>
        <v/>
      </c>
      <c r="S196" s="897"/>
      <c r="T196" s="925"/>
      <c r="U196" s="746"/>
    </row>
    <row r="197" spans="3:21" x14ac:dyDescent="0.25">
      <c r="C197" s="704"/>
      <c r="D197" s="705"/>
      <c r="E197" s="700"/>
      <c r="F197" s="706"/>
      <c r="G197" s="859"/>
      <c r="H197" s="859"/>
      <c r="I197" s="861" t="str">
        <f t="shared" si="33"/>
        <v/>
      </c>
      <c r="J197" s="861" t="str">
        <f t="shared" si="34"/>
        <v/>
      </c>
      <c r="K197" s="861" t="str">
        <f t="shared" si="35"/>
        <v/>
      </c>
      <c r="M197" s="702" t="str">
        <f t="shared" si="36"/>
        <v/>
      </c>
      <c r="N197" s="703" t="str">
        <f t="shared" si="28"/>
        <v/>
      </c>
      <c r="O197" s="703" t="str">
        <f t="shared" si="29"/>
        <v/>
      </c>
      <c r="P197" s="895" t="str">
        <f t="shared" si="30"/>
        <v/>
      </c>
      <c r="Q197" s="703" t="str">
        <f t="shared" si="31"/>
        <v/>
      </c>
      <c r="R197" s="821" t="str">
        <f t="shared" si="32"/>
        <v/>
      </c>
      <c r="S197" s="897"/>
      <c r="T197" s="925"/>
      <c r="U197" s="746"/>
    </row>
    <row r="198" spans="3:21" x14ac:dyDescent="0.25">
      <c r="C198" s="704"/>
      <c r="D198" s="705"/>
      <c r="E198" s="700"/>
      <c r="F198" s="706"/>
      <c r="G198" s="859"/>
      <c r="H198" s="859"/>
      <c r="I198" s="861" t="str">
        <f t="shared" si="33"/>
        <v/>
      </c>
      <c r="J198" s="861" t="str">
        <f t="shared" si="34"/>
        <v/>
      </c>
      <c r="K198" s="861" t="str">
        <f t="shared" si="35"/>
        <v/>
      </c>
      <c r="M198" s="702" t="str">
        <f t="shared" si="36"/>
        <v/>
      </c>
      <c r="N198" s="703" t="str">
        <f t="shared" si="28"/>
        <v/>
      </c>
      <c r="O198" s="703" t="str">
        <f t="shared" si="29"/>
        <v/>
      </c>
      <c r="P198" s="895" t="str">
        <f t="shared" si="30"/>
        <v/>
      </c>
      <c r="Q198" s="703" t="str">
        <f t="shared" si="31"/>
        <v/>
      </c>
      <c r="R198" s="821" t="str">
        <f t="shared" si="32"/>
        <v/>
      </c>
      <c r="S198" s="897"/>
      <c r="T198" s="925"/>
      <c r="U198" s="746"/>
    </row>
    <row r="199" spans="3:21" x14ac:dyDescent="0.25">
      <c r="C199" s="704"/>
      <c r="D199" s="705"/>
      <c r="E199" s="700"/>
      <c r="F199" s="706"/>
      <c r="G199" s="859"/>
      <c r="H199" s="859"/>
      <c r="I199" s="861" t="str">
        <f t="shared" si="33"/>
        <v/>
      </c>
      <c r="J199" s="861" t="str">
        <f t="shared" si="34"/>
        <v/>
      </c>
      <c r="K199" s="861" t="str">
        <f t="shared" si="35"/>
        <v/>
      </c>
      <c r="M199" s="702" t="str">
        <f t="shared" si="36"/>
        <v/>
      </c>
      <c r="N199" s="703" t="str">
        <f t="shared" si="28"/>
        <v/>
      </c>
      <c r="O199" s="703" t="str">
        <f t="shared" si="29"/>
        <v/>
      </c>
      <c r="P199" s="895" t="str">
        <f t="shared" si="30"/>
        <v/>
      </c>
      <c r="Q199" s="703" t="str">
        <f t="shared" si="31"/>
        <v/>
      </c>
      <c r="R199" s="821" t="str">
        <f t="shared" si="32"/>
        <v/>
      </c>
      <c r="S199" s="897"/>
      <c r="T199" s="925"/>
      <c r="U199" s="746"/>
    </row>
    <row r="200" spans="3:21" x14ac:dyDescent="0.25">
      <c r="C200" s="704"/>
      <c r="D200" s="705"/>
      <c r="E200" s="700"/>
      <c r="F200" s="706"/>
      <c r="G200" s="859"/>
      <c r="H200" s="859"/>
      <c r="I200" s="861" t="str">
        <f t="shared" si="33"/>
        <v/>
      </c>
      <c r="J200" s="861" t="str">
        <f t="shared" si="34"/>
        <v/>
      </c>
      <c r="K200" s="861" t="str">
        <f t="shared" si="35"/>
        <v/>
      </c>
      <c r="M200" s="702" t="str">
        <f t="shared" si="36"/>
        <v/>
      </c>
      <c r="N200" s="703" t="str">
        <f t="shared" si="28"/>
        <v/>
      </c>
      <c r="O200" s="703" t="str">
        <f t="shared" si="29"/>
        <v/>
      </c>
      <c r="P200" s="895" t="str">
        <f t="shared" si="30"/>
        <v/>
      </c>
      <c r="Q200" s="703" t="str">
        <f t="shared" si="31"/>
        <v/>
      </c>
      <c r="R200" s="821" t="str">
        <f t="shared" si="32"/>
        <v/>
      </c>
      <c r="S200" s="897"/>
      <c r="T200" s="925"/>
      <c r="U200" s="746"/>
    </row>
    <row r="201" spans="3:21" x14ac:dyDescent="0.25">
      <c r="C201" s="704"/>
      <c r="D201" s="705"/>
      <c r="E201" s="700"/>
      <c r="F201" s="706"/>
      <c r="G201" s="859"/>
      <c r="H201" s="859"/>
      <c r="I201" s="861" t="str">
        <f t="shared" si="33"/>
        <v/>
      </c>
      <c r="J201" s="861" t="str">
        <f t="shared" si="34"/>
        <v/>
      </c>
      <c r="K201" s="861" t="str">
        <f t="shared" si="35"/>
        <v/>
      </c>
      <c r="M201" s="702" t="str">
        <f t="shared" si="36"/>
        <v/>
      </c>
      <c r="N201" s="703" t="str">
        <f t="shared" si="28"/>
        <v/>
      </c>
      <c r="O201" s="703" t="str">
        <f t="shared" si="29"/>
        <v/>
      </c>
      <c r="P201" s="895" t="str">
        <f t="shared" si="30"/>
        <v/>
      </c>
      <c r="Q201" s="703" t="str">
        <f t="shared" si="31"/>
        <v/>
      </c>
      <c r="R201" s="821" t="str">
        <f t="shared" si="32"/>
        <v/>
      </c>
      <c r="S201" s="897"/>
      <c r="T201" s="925"/>
      <c r="U201" s="746"/>
    </row>
    <row r="202" spans="3:21" x14ac:dyDescent="0.25">
      <c r="C202" s="704"/>
      <c r="D202" s="705"/>
      <c r="E202" s="700"/>
      <c r="F202" s="706"/>
      <c r="G202" s="859"/>
      <c r="H202" s="859"/>
      <c r="I202" s="861" t="str">
        <f t="shared" si="33"/>
        <v/>
      </c>
      <c r="J202" s="861" t="str">
        <f t="shared" si="34"/>
        <v/>
      </c>
      <c r="K202" s="861" t="str">
        <f t="shared" si="35"/>
        <v/>
      </c>
      <c r="M202" s="702" t="str">
        <f t="shared" si="36"/>
        <v/>
      </c>
      <c r="N202" s="703" t="str">
        <f t="shared" si="28"/>
        <v/>
      </c>
      <c r="O202" s="703" t="str">
        <f t="shared" si="29"/>
        <v/>
      </c>
      <c r="P202" s="895" t="str">
        <f t="shared" si="30"/>
        <v/>
      </c>
      <c r="Q202" s="703" t="str">
        <f t="shared" si="31"/>
        <v/>
      </c>
      <c r="R202" s="821" t="str">
        <f t="shared" si="32"/>
        <v/>
      </c>
      <c r="S202" s="897"/>
      <c r="T202" s="925"/>
      <c r="U202" s="746"/>
    </row>
    <row r="203" spans="3:21" x14ac:dyDescent="0.25">
      <c r="C203" s="704"/>
      <c r="D203" s="705"/>
      <c r="E203" s="700"/>
      <c r="F203" s="706"/>
      <c r="G203" s="859"/>
      <c r="H203" s="859"/>
      <c r="I203" s="861" t="str">
        <f t="shared" si="33"/>
        <v/>
      </c>
      <c r="J203" s="861" t="str">
        <f t="shared" si="34"/>
        <v/>
      </c>
      <c r="K203" s="861" t="str">
        <f t="shared" si="35"/>
        <v/>
      </c>
      <c r="M203" s="702" t="str">
        <f t="shared" si="36"/>
        <v/>
      </c>
      <c r="N203" s="703" t="str">
        <f t="shared" si="28"/>
        <v/>
      </c>
      <c r="O203" s="703" t="str">
        <f t="shared" si="29"/>
        <v/>
      </c>
      <c r="P203" s="895" t="str">
        <f t="shared" si="30"/>
        <v/>
      </c>
      <c r="Q203" s="703" t="str">
        <f t="shared" si="31"/>
        <v/>
      </c>
      <c r="R203" s="821" t="str">
        <f t="shared" si="32"/>
        <v/>
      </c>
      <c r="S203" s="897"/>
      <c r="T203" s="925"/>
      <c r="U203" s="746"/>
    </row>
    <row r="204" spans="3:21" x14ac:dyDescent="0.25">
      <c r="C204" s="704"/>
      <c r="D204" s="705"/>
      <c r="E204" s="700"/>
      <c r="F204" s="706"/>
      <c r="G204" s="859"/>
      <c r="H204" s="859"/>
      <c r="I204" s="861" t="str">
        <f t="shared" si="33"/>
        <v/>
      </c>
      <c r="J204" s="861" t="str">
        <f t="shared" si="34"/>
        <v/>
      </c>
      <c r="K204" s="861" t="str">
        <f t="shared" si="35"/>
        <v/>
      </c>
      <c r="M204" s="702" t="str">
        <f t="shared" si="36"/>
        <v/>
      </c>
      <c r="N204" s="703" t="str">
        <f t="shared" si="28"/>
        <v/>
      </c>
      <c r="O204" s="703" t="str">
        <f t="shared" si="29"/>
        <v/>
      </c>
      <c r="P204" s="895" t="str">
        <f t="shared" si="30"/>
        <v/>
      </c>
      <c r="Q204" s="703" t="str">
        <f t="shared" si="31"/>
        <v/>
      </c>
      <c r="R204" s="821" t="str">
        <f t="shared" si="32"/>
        <v/>
      </c>
      <c r="S204" s="897"/>
      <c r="T204" s="925"/>
      <c r="U204" s="746"/>
    </row>
    <row r="205" spans="3:21" x14ac:dyDescent="0.25">
      <c r="C205" s="704"/>
      <c r="D205" s="705"/>
      <c r="E205" s="700"/>
      <c r="F205" s="706"/>
      <c r="G205" s="859"/>
      <c r="H205" s="859"/>
      <c r="I205" s="861" t="str">
        <f t="shared" si="33"/>
        <v/>
      </c>
      <c r="J205" s="861" t="str">
        <f t="shared" si="34"/>
        <v/>
      </c>
      <c r="K205" s="861" t="str">
        <f t="shared" si="35"/>
        <v/>
      </c>
      <c r="M205" s="702" t="str">
        <f t="shared" si="36"/>
        <v/>
      </c>
      <c r="N205" s="703" t="str">
        <f t="shared" si="28"/>
        <v/>
      </c>
      <c r="O205" s="703" t="str">
        <f t="shared" si="29"/>
        <v/>
      </c>
      <c r="P205" s="895" t="str">
        <f t="shared" si="30"/>
        <v/>
      </c>
      <c r="Q205" s="703" t="str">
        <f t="shared" si="31"/>
        <v/>
      </c>
      <c r="R205" s="821" t="str">
        <f t="shared" si="32"/>
        <v/>
      </c>
      <c r="S205" s="897"/>
      <c r="T205" s="925"/>
      <c r="U205" s="746"/>
    </row>
    <row r="206" spans="3:21" x14ac:dyDescent="0.25">
      <c r="C206" s="704"/>
      <c r="D206" s="705"/>
      <c r="E206" s="700"/>
      <c r="F206" s="706"/>
      <c r="G206" s="859"/>
      <c r="H206" s="859"/>
      <c r="I206" s="861" t="str">
        <f t="shared" si="33"/>
        <v/>
      </c>
      <c r="J206" s="861" t="str">
        <f t="shared" si="34"/>
        <v/>
      </c>
      <c r="K206" s="861" t="str">
        <f t="shared" si="35"/>
        <v/>
      </c>
      <c r="M206" s="702" t="str">
        <f t="shared" si="36"/>
        <v/>
      </c>
      <c r="N206" s="703" t="str">
        <f t="shared" si="28"/>
        <v/>
      </c>
      <c r="O206" s="703" t="str">
        <f t="shared" si="29"/>
        <v/>
      </c>
      <c r="P206" s="895" t="str">
        <f t="shared" si="30"/>
        <v/>
      </c>
      <c r="Q206" s="703" t="str">
        <f t="shared" si="31"/>
        <v/>
      </c>
      <c r="R206" s="821" t="str">
        <f t="shared" si="32"/>
        <v/>
      </c>
      <c r="S206" s="897"/>
      <c r="T206" s="925"/>
      <c r="U206" s="746"/>
    </row>
    <row r="207" spans="3:21" x14ac:dyDescent="0.25">
      <c r="C207" s="704"/>
      <c r="D207" s="705"/>
      <c r="E207" s="700"/>
      <c r="F207" s="706"/>
      <c r="G207" s="859"/>
      <c r="H207" s="859"/>
      <c r="I207" s="861" t="str">
        <f t="shared" si="33"/>
        <v/>
      </c>
      <c r="J207" s="861" t="str">
        <f t="shared" si="34"/>
        <v/>
      </c>
      <c r="K207" s="861" t="str">
        <f t="shared" si="35"/>
        <v/>
      </c>
      <c r="M207" s="702" t="str">
        <f t="shared" si="36"/>
        <v/>
      </c>
      <c r="N207" s="703" t="str">
        <f t="shared" si="28"/>
        <v/>
      </c>
      <c r="O207" s="703" t="str">
        <f t="shared" si="29"/>
        <v/>
      </c>
      <c r="P207" s="895" t="str">
        <f t="shared" si="30"/>
        <v/>
      </c>
      <c r="Q207" s="703" t="str">
        <f t="shared" si="31"/>
        <v/>
      </c>
      <c r="R207" s="821" t="str">
        <f t="shared" si="32"/>
        <v/>
      </c>
      <c r="S207" s="897"/>
      <c r="T207" s="925"/>
      <c r="U207" s="746"/>
    </row>
    <row r="208" spans="3:21" x14ac:dyDescent="0.25">
      <c r="C208" s="704"/>
      <c r="D208" s="705"/>
      <c r="E208" s="700"/>
      <c r="F208" s="706"/>
      <c r="G208" s="859"/>
      <c r="H208" s="859"/>
      <c r="I208" s="861" t="str">
        <f t="shared" si="33"/>
        <v/>
      </c>
      <c r="J208" s="861" t="str">
        <f t="shared" si="34"/>
        <v/>
      </c>
      <c r="K208" s="861" t="str">
        <f t="shared" si="35"/>
        <v/>
      </c>
      <c r="M208" s="702" t="str">
        <f t="shared" si="36"/>
        <v/>
      </c>
      <c r="N208" s="703" t="str">
        <f t="shared" si="28"/>
        <v/>
      </c>
      <c r="O208" s="703" t="str">
        <f t="shared" si="29"/>
        <v/>
      </c>
      <c r="P208" s="895" t="str">
        <f t="shared" si="30"/>
        <v/>
      </c>
      <c r="Q208" s="703" t="str">
        <f t="shared" si="31"/>
        <v/>
      </c>
      <c r="R208" s="821" t="str">
        <f t="shared" si="32"/>
        <v/>
      </c>
      <c r="S208" s="897"/>
      <c r="T208" s="925"/>
      <c r="U208" s="746"/>
    </row>
    <row r="209" spans="3:21" x14ac:dyDescent="0.25">
      <c r="C209" s="704"/>
      <c r="D209" s="705"/>
      <c r="E209" s="700"/>
      <c r="F209" s="706"/>
      <c r="G209" s="859"/>
      <c r="H209" s="859"/>
      <c r="I209" s="861" t="str">
        <f t="shared" si="33"/>
        <v/>
      </c>
      <c r="J209" s="861" t="str">
        <f t="shared" si="34"/>
        <v/>
      </c>
      <c r="K209" s="861" t="str">
        <f t="shared" si="35"/>
        <v/>
      </c>
      <c r="M209" s="702" t="str">
        <f t="shared" si="36"/>
        <v/>
      </c>
      <c r="N209" s="703" t="str">
        <f t="shared" si="28"/>
        <v/>
      </c>
      <c r="O209" s="703" t="str">
        <f t="shared" si="29"/>
        <v/>
      </c>
      <c r="P209" s="895" t="str">
        <f t="shared" si="30"/>
        <v/>
      </c>
      <c r="Q209" s="703" t="str">
        <f t="shared" si="31"/>
        <v/>
      </c>
      <c r="R209" s="821" t="str">
        <f t="shared" si="32"/>
        <v/>
      </c>
      <c r="S209" s="897"/>
      <c r="T209" s="925"/>
      <c r="U209" s="746"/>
    </row>
    <row r="210" spans="3:21" x14ac:dyDescent="0.25">
      <c r="C210" s="704"/>
      <c r="D210" s="705"/>
      <c r="E210" s="700"/>
      <c r="F210" s="706"/>
      <c r="G210" s="859"/>
      <c r="H210" s="859"/>
      <c r="I210" s="861" t="str">
        <f t="shared" si="33"/>
        <v/>
      </c>
      <c r="J210" s="861" t="str">
        <f t="shared" si="34"/>
        <v/>
      </c>
      <c r="K210" s="861" t="str">
        <f t="shared" si="35"/>
        <v/>
      </c>
      <c r="M210" s="702" t="str">
        <f t="shared" si="36"/>
        <v/>
      </c>
      <c r="N210" s="703" t="str">
        <f t="shared" si="28"/>
        <v/>
      </c>
      <c r="O210" s="703" t="str">
        <f t="shared" si="29"/>
        <v/>
      </c>
      <c r="P210" s="895" t="str">
        <f t="shared" si="30"/>
        <v/>
      </c>
      <c r="Q210" s="703" t="str">
        <f t="shared" si="31"/>
        <v/>
      </c>
      <c r="R210" s="821" t="str">
        <f t="shared" si="32"/>
        <v/>
      </c>
      <c r="S210" s="897"/>
      <c r="T210" s="925"/>
      <c r="U210" s="746"/>
    </row>
    <row r="211" spans="3:21" x14ac:dyDescent="0.25">
      <c r="C211" s="704"/>
      <c r="D211" s="705"/>
      <c r="E211" s="700"/>
      <c r="F211" s="706"/>
      <c r="G211" s="859"/>
      <c r="H211" s="859"/>
      <c r="I211" s="861" t="str">
        <f t="shared" si="33"/>
        <v/>
      </c>
      <c r="J211" s="861" t="str">
        <f t="shared" si="34"/>
        <v/>
      </c>
      <c r="K211" s="861" t="str">
        <f t="shared" si="35"/>
        <v/>
      </c>
      <c r="M211" s="702" t="str">
        <f t="shared" si="36"/>
        <v/>
      </c>
      <c r="N211" s="703" t="str">
        <f t="shared" si="28"/>
        <v/>
      </c>
      <c r="O211" s="703" t="str">
        <f t="shared" si="29"/>
        <v/>
      </c>
      <c r="P211" s="895" t="str">
        <f t="shared" si="30"/>
        <v/>
      </c>
      <c r="Q211" s="703" t="str">
        <f t="shared" si="31"/>
        <v/>
      </c>
      <c r="R211" s="821" t="str">
        <f t="shared" si="32"/>
        <v/>
      </c>
      <c r="S211" s="897"/>
      <c r="T211" s="925"/>
      <c r="U211" s="746"/>
    </row>
    <row r="212" spans="3:21" x14ac:dyDescent="0.25">
      <c r="C212" s="704"/>
      <c r="D212" s="705"/>
      <c r="E212" s="700"/>
      <c r="F212" s="706"/>
      <c r="G212" s="859"/>
      <c r="H212" s="859"/>
      <c r="I212" s="861" t="str">
        <f t="shared" si="33"/>
        <v/>
      </c>
      <c r="J212" s="861" t="str">
        <f t="shared" si="34"/>
        <v/>
      </c>
      <c r="K212" s="861" t="str">
        <f t="shared" si="35"/>
        <v/>
      </c>
      <c r="M212" s="702" t="str">
        <f t="shared" si="36"/>
        <v/>
      </c>
      <c r="N212" s="703" t="str">
        <f t="shared" si="28"/>
        <v/>
      </c>
      <c r="O212" s="703" t="str">
        <f t="shared" si="29"/>
        <v/>
      </c>
      <c r="P212" s="895" t="str">
        <f t="shared" si="30"/>
        <v/>
      </c>
      <c r="Q212" s="703" t="str">
        <f t="shared" si="31"/>
        <v/>
      </c>
      <c r="R212" s="821" t="str">
        <f t="shared" si="32"/>
        <v/>
      </c>
      <c r="S212" s="897"/>
      <c r="T212" s="925"/>
      <c r="U212" s="746"/>
    </row>
    <row r="213" spans="3:21" x14ac:dyDescent="0.25">
      <c r="C213" s="704"/>
      <c r="D213" s="705"/>
      <c r="E213" s="700"/>
      <c r="F213" s="706"/>
      <c r="G213" s="859"/>
      <c r="H213" s="859"/>
      <c r="I213" s="861" t="str">
        <f t="shared" si="33"/>
        <v/>
      </c>
      <c r="J213" s="861" t="str">
        <f t="shared" si="34"/>
        <v/>
      </c>
      <c r="K213" s="861" t="str">
        <f t="shared" si="35"/>
        <v/>
      </c>
      <c r="M213" s="702" t="str">
        <f t="shared" si="36"/>
        <v/>
      </c>
      <c r="N213" s="703" t="str">
        <f t="shared" si="28"/>
        <v/>
      </c>
      <c r="O213" s="703" t="str">
        <f t="shared" si="29"/>
        <v/>
      </c>
      <c r="P213" s="895" t="str">
        <f t="shared" si="30"/>
        <v/>
      </c>
      <c r="Q213" s="703" t="str">
        <f t="shared" si="31"/>
        <v/>
      </c>
      <c r="R213" s="821" t="str">
        <f t="shared" si="32"/>
        <v/>
      </c>
      <c r="S213" s="897"/>
      <c r="T213" s="925"/>
      <c r="U213" s="746"/>
    </row>
    <row r="214" spans="3:21" x14ac:dyDescent="0.25">
      <c r="C214" s="704"/>
      <c r="D214" s="705"/>
      <c r="E214" s="700"/>
      <c r="F214" s="706"/>
      <c r="G214" s="859"/>
      <c r="H214" s="859"/>
      <c r="I214" s="861" t="str">
        <f t="shared" si="33"/>
        <v/>
      </c>
      <c r="J214" s="861" t="str">
        <f t="shared" si="34"/>
        <v/>
      </c>
      <c r="K214" s="861" t="str">
        <f t="shared" si="35"/>
        <v/>
      </c>
      <c r="M214" s="702" t="str">
        <f t="shared" si="36"/>
        <v/>
      </c>
      <c r="N214" s="703" t="str">
        <f t="shared" si="28"/>
        <v/>
      </c>
      <c r="O214" s="703" t="str">
        <f t="shared" si="29"/>
        <v/>
      </c>
      <c r="P214" s="895" t="str">
        <f t="shared" si="30"/>
        <v/>
      </c>
      <c r="Q214" s="703" t="str">
        <f t="shared" si="31"/>
        <v/>
      </c>
      <c r="R214" s="821" t="str">
        <f t="shared" si="32"/>
        <v/>
      </c>
      <c r="S214" s="897"/>
      <c r="T214" s="925"/>
      <c r="U214" s="746"/>
    </row>
    <row r="215" spans="3:21" x14ac:dyDescent="0.25">
      <c r="C215" s="704"/>
      <c r="D215" s="705"/>
      <c r="E215" s="700"/>
      <c r="F215" s="706"/>
      <c r="G215" s="859"/>
      <c r="H215" s="859"/>
      <c r="I215" s="861" t="str">
        <f t="shared" si="33"/>
        <v/>
      </c>
      <c r="J215" s="861" t="str">
        <f t="shared" si="34"/>
        <v/>
      </c>
      <c r="K215" s="861" t="str">
        <f t="shared" si="35"/>
        <v/>
      </c>
      <c r="M215" s="702" t="str">
        <f t="shared" si="36"/>
        <v/>
      </c>
      <c r="N215" s="703" t="str">
        <f t="shared" si="28"/>
        <v/>
      </c>
      <c r="O215" s="703" t="str">
        <f t="shared" si="29"/>
        <v/>
      </c>
      <c r="P215" s="895" t="str">
        <f t="shared" si="30"/>
        <v/>
      </c>
      <c r="Q215" s="703" t="str">
        <f t="shared" si="31"/>
        <v/>
      </c>
      <c r="R215" s="821" t="str">
        <f t="shared" si="32"/>
        <v/>
      </c>
      <c r="S215" s="897"/>
      <c r="T215" s="925"/>
      <c r="U215" s="746"/>
    </row>
    <row r="216" spans="3:21" x14ac:dyDescent="0.25">
      <c r="C216" s="704"/>
      <c r="D216" s="705"/>
      <c r="E216" s="700"/>
      <c r="F216" s="706"/>
      <c r="G216" s="859"/>
      <c r="H216" s="859"/>
      <c r="I216" s="861" t="str">
        <f t="shared" si="33"/>
        <v/>
      </c>
      <c r="J216" s="861" t="str">
        <f t="shared" si="34"/>
        <v/>
      </c>
      <c r="K216" s="861" t="str">
        <f t="shared" si="35"/>
        <v/>
      </c>
      <c r="M216" s="702" t="str">
        <f t="shared" si="36"/>
        <v/>
      </c>
      <c r="N216" s="703" t="str">
        <f t="shared" si="28"/>
        <v/>
      </c>
      <c r="O216" s="703" t="str">
        <f t="shared" si="29"/>
        <v/>
      </c>
      <c r="P216" s="895" t="str">
        <f t="shared" si="30"/>
        <v/>
      </c>
      <c r="Q216" s="703" t="str">
        <f t="shared" si="31"/>
        <v/>
      </c>
      <c r="R216" s="821" t="str">
        <f t="shared" si="32"/>
        <v/>
      </c>
      <c r="S216" s="897"/>
      <c r="T216" s="925"/>
      <c r="U216" s="746"/>
    </row>
    <row r="217" spans="3:21" x14ac:dyDescent="0.25">
      <c r="C217" s="704"/>
      <c r="D217" s="705"/>
      <c r="E217" s="700"/>
      <c r="F217" s="706"/>
      <c r="G217" s="859"/>
      <c r="H217" s="859"/>
      <c r="I217" s="861" t="str">
        <f t="shared" si="33"/>
        <v/>
      </c>
      <c r="J217" s="861" t="str">
        <f t="shared" si="34"/>
        <v/>
      </c>
      <c r="K217" s="861" t="str">
        <f t="shared" si="35"/>
        <v/>
      </c>
      <c r="M217" s="702" t="str">
        <f t="shared" si="36"/>
        <v/>
      </c>
      <c r="N217" s="703" t="str">
        <f t="shared" si="28"/>
        <v/>
      </c>
      <c r="O217" s="703" t="str">
        <f t="shared" si="29"/>
        <v/>
      </c>
      <c r="P217" s="895" t="str">
        <f t="shared" si="30"/>
        <v/>
      </c>
      <c r="Q217" s="703" t="str">
        <f t="shared" si="31"/>
        <v/>
      </c>
      <c r="R217" s="821" t="str">
        <f t="shared" si="32"/>
        <v/>
      </c>
      <c r="S217" s="897"/>
      <c r="T217" s="925"/>
      <c r="U217" s="746"/>
    </row>
    <row r="218" spans="3:21" x14ac:dyDescent="0.25">
      <c r="C218" s="704"/>
      <c r="D218" s="705"/>
      <c r="E218" s="700"/>
      <c r="F218" s="706"/>
      <c r="G218" s="859"/>
      <c r="H218" s="859"/>
      <c r="I218" s="861" t="str">
        <f t="shared" si="33"/>
        <v/>
      </c>
      <c r="J218" s="861" t="str">
        <f t="shared" si="34"/>
        <v/>
      </c>
      <c r="K218" s="861" t="str">
        <f t="shared" si="35"/>
        <v/>
      </c>
      <c r="M218" s="702" t="str">
        <f t="shared" si="36"/>
        <v/>
      </c>
      <c r="N218" s="703" t="str">
        <f t="shared" si="28"/>
        <v/>
      </c>
      <c r="O218" s="703" t="str">
        <f t="shared" si="29"/>
        <v/>
      </c>
      <c r="P218" s="895" t="str">
        <f t="shared" si="30"/>
        <v/>
      </c>
      <c r="Q218" s="703" t="str">
        <f t="shared" si="31"/>
        <v/>
      </c>
      <c r="R218" s="821" t="str">
        <f t="shared" si="32"/>
        <v/>
      </c>
      <c r="S218" s="897"/>
      <c r="T218" s="925"/>
      <c r="U218" s="746"/>
    </row>
    <row r="219" spans="3:21" x14ac:dyDescent="0.25">
      <c r="C219" s="704"/>
      <c r="D219" s="705"/>
      <c r="E219" s="700"/>
      <c r="F219" s="706"/>
      <c r="G219" s="859"/>
      <c r="H219" s="859"/>
      <c r="I219" s="861" t="str">
        <f t="shared" si="33"/>
        <v/>
      </c>
      <c r="J219" s="861" t="str">
        <f t="shared" si="34"/>
        <v/>
      </c>
      <c r="K219" s="861" t="str">
        <f t="shared" si="35"/>
        <v/>
      </c>
      <c r="M219" s="702" t="str">
        <f t="shared" si="36"/>
        <v/>
      </c>
      <c r="N219" s="703" t="str">
        <f t="shared" ref="N219:N250" si="37">IFERROR(INDEX(CNTR_FuelListIsZero, MATCH(E219, CNTR_FuelListNames, 0)),"")</f>
        <v/>
      </c>
      <c r="O219" s="703" t="str">
        <f t="shared" ref="O219:O250" si="38">IF(E219="","",IFERROR(NOT(ISNUMBER(INDEX(CNTR_FuelListSupportRate, MATCH(E219, CNTR_FuelListNames, 0)))),  ""))</f>
        <v/>
      </c>
      <c r="P219" s="895" t="str">
        <f t="shared" ref="P219:P250" si="39">IFERROR( OR( INDEX(CNTR_FuelListCompleteData, MATCH(E219, CNTR_FuelListNames, 0)) = FALSE,   INDEX(CNTR_FuelListIsFossil, MATCH(E219, CNTR_FuelListNames, 0)) = TRUE),  "")</f>
        <v/>
      </c>
      <c r="Q219" s="703" t="str">
        <f t="shared" ref="Q219:Q250" si="40">IFERROR(IF(INDEX(CNTR_FuelListSubType, MATCH(E219, CNTR_FuelListNames, 0)) = "",  "",  INDEX(CNTR_FuelListSubType, MATCH(E219, CNTR_FuelListNames, 0))),  "")</f>
        <v/>
      </c>
      <c r="R219" s="821" t="str">
        <f t="shared" ref="R219:R250" si="41">IFERROR(IF( AND(D219=TRUE, ISNUMBER(INDEX(CNTR_FuelListSupportRate, MATCH( E219, CNTR_FuelListNames, 0)))),   1,   INDEX(CNTR_FuelListSupportRate, MATCH(E219, CNTR_FuelListNames, 0))),  "")</f>
        <v/>
      </c>
      <c r="S219" s="897"/>
      <c r="T219" s="925"/>
      <c r="U219" s="746"/>
    </row>
    <row r="220" spans="3:21" x14ac:dyDescent="0.25">
      <c r="C220" s="704"/>
      <c r="D220" s="705"/>
      <c r="E220" s="700"/>
      <c r="F220" s="706"/>
      <c r="G220" s="859"/>
      <c r="H220" s="859"/>
      <c r="I220" s="861" t="str">
        <f t="shared" si="33"/>
        <v/>
      </c>
      <c r="J220" s="861" t="str">
        <f t="shared" si="34"/>
        <v/>
      </c>
      <c r="K220" s="861" t="str">
        <f t="shared" si="35"/>
        <v/>
      </c>
      <c r="M220" s="702" t="str">
        <f t="shared" si="36"/>
        <v/>
      </c>
      <c r="N220" s="703" t="str">
        <f t="shared" si="37"/>
        <v/>
      </c>
      <c r="O220" s="703" t="str">
        <f t="shared" si="38"/>
        <v/>
      </c>
      <c r="P220" s="895" t="str">
        <f t="shared" si="39"/>
        <v/>
      </c>
      <c r="Q220" s="703" t="str">
        <f t="shared" si="40"/>
        <v/>
      </c>
      <c r="R220" s="821" t="str">
        <f t="shared" si="41"/>
        <v/>
      </c>
      <c r="S220" s="897"/>
      <c r="T220" s="925"/>
      <c r="U220" s="746"/>
    </row>
    <row r="221" spans="3:21" x14ac:dyDescent="0.25">
      <c r="C221" s="704"/>
      <c r="D221" s="705"/>
      <c r="E221" s="700"/>
      <c r="F221" s="706"/>
      <c r="G221" s="859"/>
      <c r="H221" s="859"/>
      <c r="I221" s="861" t="str">
        <f t="shared" si="33"/>
        <v/>
      </c>
      <c r="J221" s="861" t="str">
        <f t="shared" si="34"/>
        <v/>
      </c>
      <c r="K221" s="861" t="str">
        <f t="shared" si="35"/>
        <v/>
      </c>
      <c r="M221" s="702" t="str">
        <f t="shared" si="36"/>
        <v/>
      </c>
      <c r="N221" s="703" t="str">
        <f t="shared" si="37"/>
        <v/>
      </c>
      <c r="O221" s="703" t="str">
        <f t="shared" si="38"/>
        <v/>
      </c>
      <c r="P221" s="895" t="str">
        <f t="shared" si="39"/>
        <v/>
      </c>
      <c r="Q221" s="703" t="str">
        <f t="shared" si="40"/>
        <v/>
      </c>
      <c r="R221" s="821" t="str">
        <f t="shared" si="41"/>
        <v/>
      </c>
      <c r="S221" s="897"/>
      <c r="T221" s="925"/>
      <c r="U221" s="746"/>
    </row>
    <row r="222" spans="3:21" x14ac:dyDescent="0.25">
      <c r="C222" s="704"/>
      <c r="D222" s="705"/>
      <c r="E222" s="700"/>
      <c r="F222" s="706"/>
      <c r="G222" s="859"/>
      <c r="H222" s="859"/>
      <c r="I222" s="861" t="str">
        <f t="shared" si="33"/>
        <v/>
      </c>
      <c r="J222" s="861" t="str">
        <f t="shared" si="34"/>
        <v/>
      </c>
      <c r="K222" s="861" t="str">
        <f t="shared" si="35"/>
        <v/>
      </c>
      <c r="M222" s="702" t="str">
        <f t="shared" si="36"/>
        <v/>
      </c>
      <c r="N222" s="703" t="str">
        <f t="shared" si="37"/>
        <v/>
      </c>
      <c r="O222" s="703" t="str">
        <f t="shared" si="38"/>
        <v/>
      </c>
      <c r="P222" s="895" t="str">
        <f t="shared" si="39"/>
        <v/>
      </c>
      <c r="Q222" s="703" t="str">
        <f t="shared" si="40"/>
        <v/>
      </c>
      <c r="R222" s="821" t="str">
        <f t="shared" si="41"/>
        <v/>
      </c>
      <c r="S222" s="897"/>
      <c r="T222" s="925"/>
      <c r="U222" s="746"/>
    </row>
    <row r="223" spans="3:21" x14ac:dyDescent="0.25">
      <c r="C223" s="704"/>
      <c r="D223" s="705"/>
      <c r="E223" s="700"/>
      <c r="F223" s="706"/>
      <c r="G223" s="859"/>
      <c r="H223" s="859"/>
      <c r="I223" s="861" t="str">
        <f t="shared" si="33"/>
        <v/>
      </c>
      <c r="J223" s="861" t="str">
        <f t="shared" si="34"/>
        <v/>
      </c>
      <c r="K223" s="861" t="str">
        <f t="shared" si="35"/>
        <v/>
      </c>
      <c r="M223" s="702" t="str">
        <f t="shared" si="36"/>
        <v/>
      </c>
      <c r="N223" s="703" t="str">
        <f t="shared" si="37"/>
        <v/>
      </c>
      <c r="O223" s="703" t="str">
        <f t="shared" si="38"/>
        <v/>
      </c>
      <c r="P223" s="895" t="str">
        <f t="shared" si="39"/>
        <v/>
      </c>
      <c r="Q223" s="703" t="str">
        <f t="shared" si="40"/>
        <v/>
      </c>
      <c r="R223" s="821" t="str">
        <f t="shared" si="41"/>
        <v/>
      </c>
      <c r="S223" s="897"/>
      <c r="T223" s="925"/>
      <c r="U223" s="746"/>
    </row>
    <row r="224" spans="3:21" x14ac:dyDescent="0.25">
      <c r="C224" s="704"/>
      <c r="D224" s="705"/>
      <c r="E224" s="700"/>
      <c r="F224" s="706"/>
      <c r="G224" s="859"/>
      <c r="H224" s="859"/>
      <c r="I224" s="861" t="str">
        <f t="shared" si="33"/>
        <v/>
      </c>
      <c r="J224" s="861" t="str">
        <f t="shared" si="34"/>
        <v/>
      </c>
      <c r="K224" s="861" t="str">
        <f t="shared" si="35"/>
        <v/>
      </c>
      <c r="M224" s="702" t="str">
        <f t="shared" si="36"/>
        <v/>
      </c>
      <c r="N224" s="703" t="str">
        <f t="shared" si="37"/>
        <v/>
      </c>
      <c r="O224" s="703" t="str">
        <f t="shared" si="38"/>
        <v/>
      </c>
      <c r="P224" s="895" t="str">
        <f t="shared" si="39"/>
        <v/>
      </c>
      <c r="Q224" s="703" t="str">
        <f t="shared" si="40"/>
        <v/>
      </c>
      <c r="R224" s="821" t="str">
        <f t="shared" si="41"/>
        <v/>
      </c>
      <c r="S224" s="897"/>
      <c r="T224" s="925"/>
      <c r="U224" s="746"/>
    </row>
    <row r="225" spans="3:21" x14ac:dyDescent="0.25">
      <c r="C225" s="704"/>
      <c r="D225" s="705"/>
      <c r="E225" s="700"/>
      <c r="F225" s="706"/>
      <c r="G225" s="859"/>
      <c r="H225" s="859"/>
      <c r="I225" s="861" t="str">
        <f t="shared" si="33"/>
        <v/>
      </c>
      <c r="J225" s="861" t="str">
        <f t="shared" si="34"/>
        <v/>
      </c>
      <c r="K225" s="861" t="str">
        <f t="shared" si="35"/>
        <v/>
      </c>
      <c r="M225" s="702" t="str">
        <f t="shared" si="36"/>
        <v/>
      </c>
      <c r="N225" s="703" t="str">
        <f t="shared" si="37"/>
        <v/>
      </c>
      <c r="O225" s="703" t="str">
        <f t="shared" si="38"/>
        <v/>
      </c>
      <c r="P225" s="895" t="str">
        <f t="shared" si="39"/>
        <v/>
      </c>
      <c r="Q225" s="703" t="str">
        <f t="shared" si="40"/>
        <v/>
      </c>
      <c r="R225" s="821" t="str">
        <f t="shared" si="41"/>
        <v/>
      </c>
      <c r="S225" s="897"/>
      <c r="T225" s="925"/>
      <c r="U225" s="746"/>
    </row>
    <row r="226" spans="3:21" x14ac:dyDescent="0.25">
      <c r="C226" s="704"/>
      <c r="D226" s="705"/>
      <c r="E226" s="700"/>
      <c r="F226" s="706"/>
      <c r="G226" s="859"/>
      <c r="H226" s="859"/>
      <c r="I226" s="861" t="str">
        <f t="shared" si="33"/>
        <v/>
      </c>
      <c r="J226" s="861" t="str">
        <f t="shared" si="34"/>
        <v/>
      </c>
      <c r="K226" s="861" t="str">
        <f t="shared" si="35"/>
        <v/>
      </c>
      <c r="M226" s="702" t="str">
        <f t="shared" si="36"/>
        <v/>
      </c>
      <c r="N226" s="703" t="str">
        <f t="shared" si="37"/>
        <v/>
      </c>
      <c r="O226" s="703" t="str">
        <f t="shared" si="38"/>
        <v/>
      </c>
      <c r="P226" s="895" t="str">
        <f t="shared" si="39"/>
        <v/>
      </c>
      <c r="Q226" s="703" t="str">
        <f t="shared" si="40"/>
        <v/>
      </c>
      <c r="R226" s="821" t="str">
        <f t="shared" si="41"/>
        <v/>
      </c>
      <c r="S226" s="897"/>
      <c r="T226" s="925"/>
      <c r="U226" s="746"/>
    </row>
    <row r="227" spans="3:21" x14ac:dyDescent="0.25">
      <c r="C227" s="704"/>
      <c r="D227" s="705"/>
      <c r="E227" s="700"/>
      <c r="F227" s="706"/>
      <c r="G227" s="859"/>
      <c r="H227" s="859"/>
      <c r="I227" s="861" t="str">
        <f t="shared" si="33"/>
        <v/>
      </c>
      <c r="J227" s="861" t="str">
        <f t="shared" si="34"/>
        <v/>
      </c>
      <c r="K227" s="861" t="str">
        <f t="shared" si="35"/>
        <v/>
      </c>
      <c r="M227" s="702" t="str">
        <f t="shared" si="36"/>
        <v/>
      </c>
      <c r="N227" s="703" t="str">
        <f t="shared" si="37"/>
        <v/>
      </c>
      <c r="O227" s="703" t="str">
        <f t="shared" si="38"/>
        <v/>
      </c>
      <c r="P227" s="895" t="str">
        <f t="shared" si="39"/>
        <v/>
      </c>
      <c r="Q227" s="703" t="str">
        <f t="shared" si="40"/>
        <v/>
      </c>
      <c r="R227" s="821" t="str">
        <f t="shared" si="41"/>
        <v/>
      </c>
      <c r="S227" s="897"/>
      <c r="T227" s="925"/>
      <c r="U227" s="746"/>
    </row>
    <row r="228" spans="3:21" x14ac:dyDescent="0.25">
      <c r="C228" s="704"/>
      <c r="D228" s="705"/>
      <c r="E228" s="700"/>
      <c r="F228" s="706"/>
      <c r="G228" s="859"/>
      <c r="H228" s="859"/>
      <c r="I228" s="861" t="str">
        <f t="shared" si="33"/>
        <v/>
      </c>
      <c r="J228" s="861" t="str">
        <f t="shared" si="34"/>
        <v/>
      </c>
      <c r="K228" s="861" t="str">
        <f t="shared" si="35"/>
        <v/>
      </c>
      <c r="M228" s="702" t="str">
        <f t="shared" si="36"/>
        <v/>
      </c>
      <c r="N228" s="703" t="str">
        <f t="shared" si="37"/>
        <v/>
      </c>
      <c r="O228" s="703" t="str">
        <f t="shared" si="38"/>
        <v/>
      </c>
      <c r="P228" s="895" t="str">
        <f t="shared" si="39"/>
        <v/>
      </c>
      <c r="Q228" s="703" t="str">
        <f t="shared" si="40"/>
        <v/>
      </c>
      <c r="R228" s="821" t="str">
        <f t="shared" si="41"/>
        <v/>
      </c>
      <c r="S228" s="897"/>
      <c r="T228" s="925"/>
      <c r="U228" s="746"/>
    </row>
    <row r="229" spans="3:21" x14ac:dyDescent="0.25">
      <c r="C229" s="704"/>
      <c r="D229" s="705"/>
      <c r="E229" s="700"/>
      <c r="F229" s="706"/>
      <c r="G229" s="859"/>
      <c r="H229" s="859"/>
      <c r="I229" s="861" t="str">
        <f t="shared" si="33"/>
        <v/>
      </c>
      <c r="J229" s="861" t="str">
        <f t="shared" si="34"/>
        <v/>
      </c>
      <c r="K229" s="861" t="str">
        <f t="shared" si="35"/>
        <v/>
      </c>
      <c r="M229" s="702" t="str">
        <f t="shared" si="36"/>
        <v/>
      </c>
      <c r="N229" s="703" t="str">
        <f t="shared" si="37"/>
        <v/>
      </c>
      <c r="O229" s="703" t="str">
        <f t="shared" si="38"/>
        <v/>
      </c>
      <c r="P229" s="895" t="str">
        <f t="shared" si="39"/>
        <v/>
      </c>
      <c r="Q229" s="703" t="str">
        <f t="shared" si="40"/>
        <v/>
      </c>
      <c r="R229" s="821" t="str">
        <f t="shared" si="41"/>
        <v/>
      </c>
      <c r="S229" s="897"/>
      <c r="T229" s="925"/>
      <c r="U229" s="746"/>
    </row>
    <row r="230" spans="3:21" x14ac:dyDescent="0.25">
      <c r="C230" s="704"/>
      <c r="D230" s="705"/>
      <c r="E230" s="700"/>
      <c r="F230" s="706"/>
      <c r="G230" s="859"/>
      <c r="H230" s="859"/>
      <c r="I230" s="861" t="str">
        <f t="shared" si="33"/>
        <v/>
      </c>
      <c r="J230" s="861" t="str">
        <f t="shared" si="34"/>
        <v/>
      </c>
      <c r="K230" s="861" t="str">
        <f t="shared" si="35"/>
        <v/>
      </c>
      <c r="M230" s="702" t="str">
        <f t="shared" si="36"/>
        <v/>
      </c>
      <c r="N230" s="703" t="str">
        <f t="shared" si="37"/>
        <v/>
      </c>
      <c r="O230" s="703" t="str">
        <f t="shared" si="38"/>
        <v/>
      </c>
      <c r="P230" s="895" t="str">
        <f t="shared" si="39"/>
        <v/>
      </c>
      <c r="Q230" s="703" t="str">
        <f t="shared" si="40"/>
        <v/>
      </c>
      <c r="R230" s="821" t="str">
        <f t="shared" si="41"/>
        <v/>
      </c>
      <c r="S230" s="897"/>
      <c r="T230" s="925"/>
      <c r="U230" s="746"/>
    </row>
    <row r="231" spans="3:21" x14ac:dyDescent="0.25">
      <c r="C231" s="704"/>
      <c r="D231" s="705"/>
      <c r="E231" s="700"/>
      <c r="F231" s="706"/>
      <c r="G231" s="859"/>
      <c r="H231" s="859"/>
      <c r="I231" s="861" t="str">
        <f t="shared" si="33"/>
        <v/>
      </c>
      <c r="J231" s="861" t="str">
        <f t="shared" si="34"/>
        <v/>
      </c>
      <c r="K231" s="861" t="str">
        <f t="shared" si="35"/>
        <v/>
      </c>
      <c r="M231" s="702" t="str">
        <f t="shared" si="36"/>
        <v/>
      </c>
      <c r="N231" s="703" t="str">
        <f t="shared" si="37"/>
        <v/>
      </c>
      <c r="O231" s="703" t="str">
        <f t="shared" si="38"/>
        <v/>
      </c>
      <c r="P231" s="895" t="str">
        <f t="shared" si="39"/>
        <v/>
      </c>
      <c r="Q231" s="703" t="str">
        <f t="shared" si="40"/>
        <v/>
      </c>
      <c r="R231" s="821" t="str">
        <f t="shared" si="41"/>
        <v/>
      </c>
      <c r="S231" s="897"/>
      <c r="T231" s="925"/>
      <c r="U231" s="746"/>
    </row>
    <row r="232" spans="3:21" x14ac:dyDescent="0.25">
      <c r="C232" s="704"/>
      <c r="D232" s="705"/>
      <c r="E232" s="700"/>
      <c r="F232" s="706"/>
      <c r="G232" s="859"/>
      <c r="H232" s="859"/>
      <c r="I232" s="861" t="str">
        <f t="shared" si="33"/>
        <v/>
      </c>
      <c r="J232" s="861" t="str">
        <f t="shared" si="34"/>
        <v/>
      </c>
      <c r="K232" s="861" t="str">
        <f t="shared" si="35"/>
        <v/>
      </c>
      <c r="M232" s="702" t="str">
        <f t="shared" si="36"/>
        <v/>
      </c>
      <c r="N232" s="703" t="str">
        <f t="shared" si="37"/>
        <v/>
      </c>
      <c r="O232" s="703" t="str">
        <f t="shared" si="38"/>
        <v/>
      </c>
      <c r="P232" s="895" t="str">
        <f t="shared" si="39"/>
        <v/>
      </c>
      <c r="Q232" s="703" t="str">
        <f t="shared" si="40"/>
        <v/>
      </c>
      <c r="R232" s="821" t="str">
        <f t="shared" si="41"/>
        <v/>
      </c>
      <c r="S232" s="897"/>
      <c r="T232" s="925"/>
      <c r="U232" s="746"/>
    </row>
    <row r="233" spans="3:21" x14ac:dyDescent="0.25">
      <c r="C233" s="704"/>
      <c r="D233" s="705"/>
      <c r="E233" s="700"/>
      <c r="F233" s="706"/>
      <c r="G233" s="859"/>
      <c r="H233" s="859"/>
      <c r="I233" s="861" t="str">
        <f t="shared" si="33"/>
        <v/>
      </c>
      <c r="J233" s="861" t="str">
        <f t="shared" si="34"/>
        <v/>
      </c>
      <c r="K233" s="861" t="str">
        <f t="shared" si="35"/>
        <v/>
      </c>
      <c r="M233" s="702" t="str">
        <f t="shared" si="36"/>
        <v/>
      </c>
      <c r="N233" s="703" t="str">
        <f t="shared" si="37"/>
        <v/>
      </c>
      <c r="O233" s="703" t="str">
        <f t="shared" si="38"/>
        <v/>
      </c>
      <c r="P233" s="895" t="str">
        <f t="shared" si="39"/>
        <v/>
      </c>
      <c r="Q233" s="703" t="str">
        <f t="shared" si="40"/>
        <v/>
      </c>
      <c r="R233" s="821" t="str">
        <f t="shared" si="41"/>
        <v/>
      </c>
      <c r="S233" s="897"/>
      <c r="T233" s="925"/>
      <c r="U233" s="746"/>
    </row>
    <row r="234" spans="3:21" x14ac:dyDescent="0.25">
      <c r="C234" s="704"/>
      <c r="D234" s="705"/>
      <c r="E234" s="700"/>
      <c r="F234" s="706"/>
      <c r="G234" s="859"/>
      <c r="H234" s="859"/>
      <c r="I234" s="861" t="str">
        <f t="shared" si="33"/>
        <v/>
      </c>
      <c r="J234" s="861" t="str">
        <f t="shared" si="34"/>
        <v/>
      </c>
      <c r="K234" s="861" t="str">
        <f t="shared" si="35"/>
        <v/>
      </c>
      <c r="M234" s="702" t="str">
        <f t="shared" si="36"/>
        <v/>
      </c>
      <c r="N234" s="703" t="str">
        <f t="shared" si="37"/>
        <v/>
      </c>
      <c r="O234" s="703" t="str">
        <f t="shared" si="38"/>
        <v/>
      </c>
      <c r="P234" s="895" t="str">
        <f t="shared" si="39"/>
        <v/>
      </c>
      <c r="Q234" s="703" t="str">
        <f t="shared" si="40"/>
        <v/>
      </c>
      <c r="R234" s="821" t="str">
        <f t="shared" si="41"/>
        <v/>
      </c>
      <c r="S234" s="897"/>
      <c r="T234" s="925"/>
      <c r="U234" s="746"/>
    </row>
    <row r="235" spans="3:21" x14ac:dyDescent="0.25">
      <c r="C235" s="704"/>
      <c r="D235" s="705"/>
      <c r="E235" s="700"/>
      <c r="F235" s="706"/>
      <c r="G235" s="859"/>
      <c r="H235" s="859"/>
      <c r="I235" s="861" t="str">
        <f t="shared" si="33"/>
        <v/>
      </c>
      <c r="J235" s="861" t="str">
        <f t="shared" si="34"/>
        <v/>
      </c>
      <c r="K235" s="861" t="str">
        <f t="shared" si="35"/>
        <v/>
      </c>
      <c r="M235" s="702" t="str">
        <f t="shared" si="36"/>
        <v/>
      </c>
      <c r="N235" s="703" t="str">
        <f t="shared" si="37"/>
        <v/>
      </c>
      <c r="O235" s="703" t="str">
        <f t="shared" si="38"/>
        <v/>
      </c>
      <c r="P235" s="895" t="str">
        <f t="shared" si="39"/>
        <v/>
      </c>
      <c r="Q235" s="703" t="str">
        <f t="shared" si="40"/>
        <v/>
      </c>
      <c r="R235" s="821" t="str">
        <f t="shared" si="41"/>
        <v/>
      </c>
      <c r="S235" s="897"/>
      <c r="T235" s="925"/>
      <c r="U235" s="746"/>
    </row>
    <row r="236" spans="3:21" x14ac:dyDescent="0.25">
      <c r="C236" s="704"/>
      <c r="D236" s="705"/>
      <c r="E236" s="700"/>
      <c r="F236" s="706"/>
      <c r="G236" s="859"/>
      <c r="H236" s="859"/>
      <c r="I236" s="861" t="str">
        <f t="shared" si="33"/>
        <v/>
      </c>
      <c r="J236" s="861" t="str">
        <f t="shared" si="34"/>
        <v/>
      </c>
      <c r="K236" s="861" t="str">
        <f t="shared" si="35"/>
        <v/>
      </c>
      <c r="M236" s="702" t="str">
        <f t="shared" si="36"/>
        <v/>
      </c>
      <c r="N236" s="703" t="str">
        <f t="shared" si="37"/>
        <v/>
      </c>
      <c r="O236" s="703" t="str">
        <f t="shared" si="38"/>
        <v/>
      </c>
      <c r="P236" s="895" t="str">
        <f t="shared" si="39"/>
        <v/>
      </c>
      <c r="Q236" s="703" t="str">
        <f t="shared" si="40"/>
        <v/>
      </c>
      <c r="R236" s="821" t="str">
        <f t="shared" si="41"/>
        <v/>
      </c>
      <c r="S236" s="897"/>
      <c r="T236" s="925"/>
      <c r="U236" s="746"/>
    </row>
    <row r="237" spans="3:21" x14ac:dyDescent="0.25">
      <c r="C237" s="704"/>
      <c r="D237" s="705"/>
      <c r="E237" s="700"/>
      <c r="F237" s="706"/>
      <c r="G237" s="859"/>
      <c r="H237" s="859"/>
      <c r="I237" s="861" t="str">
        <f t="shared" si="33"/>
        <v/>
      </c>
      <c r="J237" s="861" t="str">
        <f t="shared" si="34"/>
        <v/>
      </c>
      <c r="K237" s="861" t="str">
        <f t="shared" si="35"/>
        <v/>
      </c>
      <c r="M237" s="702" t="str">
        <f t="shared" si="36"/>
        <v/>
      </c>
      <c r="N237" s="703" t="str">
        <f t="shared" si="37"/>
        <v/>
      </c>
      <c r="O237" s="703" t="str">
        <f t="shared" si="38"/>
        <v/>
      </c>
      <c r="P237" s="895" t="str">
        <f t="shared" si="39"/>
        <v/>
      </c>
      <c r="Q237" s="703" t="str">
        <f t="shared" si="40"/>
        <v/>
      </c>
      <c r="R237" s="821" t="str">
        <f t="shared" si="41"/>
        <v/>
      </c>
      <c r="S237" s="897"/>
      <c r="T237" s="925"/>
      <c r="U237" s="746"/>
    </row>
    <row r="238" spans="3:21" x14ac:dyDescent="0.25">
      <c r="C238" s="704"/>
      <c r="D238" s="705"/>
      <c r="E238" s="700"/>
      <c r="F238" s="706"/>
      <c r="G238" s="859"/>
      <c r="H238" s="859"/>
      <c r="I238" s="861" t="str">
        <f t="shared" si="33"/>
        <v/>
      </c>
      <c r="J238" s="861" t="str">
        <f t="shared" si="34"/>
        <v/>
      </c>
      <c r="K238" s="861" t="str">
        <f t="shared" si="35"/>
        <v/>
      </c>
      <c r="M238" s="702" t="str">
        <f t="shared" si="36"/>
        <v/>
      </c>
      <c r="N238" s="703" t="str">
        <f t="shared" si="37"/>
        <v/>
      </c>
      <c r="O238" s="703" t="str">
        <f t="shared" si="38"/>
        <v/>
      </c>
      <c r="P238" s="895" t="str">
        <f t="shared" si="39"/>
        <v/>
      </c>
      <c r="Q238" s="703" t="str">
        <f t="shared" si="40"/>
        <v/>
      </c>
      <c r="R238" s="821" t="str">
        <f t="shared" si="41"/>
        <v/>
      </c>
      <c r="S238" s="897"/>
      <c r="T238" s="925"/>
      <c r="U238" s="746"/>
    </row>
    <row r="239" spans="3:21" x14ac:dyDescent="0.25">
      <c r="C239" s="704"/>
      <c r="D239" s="705"/>
      <c r="E239" s="700"/>
      <c r="F239" s="706"/>
      <c r="G239" s="859"/>
      <c r="H239" s="859"/>
      <c r="I239" s="861" t="str">
        <f t="shared" si="33"/>
        <v/>
      </c>
      <c r="J239" s="861" t="str">
        <f t="shared" si="34"/>
        <v/>
      </c>
      <c r="K239" s="861" t="str">
        <f t="shared" si="35"/>
        <v/>
      </c>
      <c r="M239" s="702" t="str">
        <f t="shared" si="36"/>
        <v/>
      </c>
      <c r="N239" s="703" t="str">
        <f t="shared" si="37"/>
        <v/>
      </c>
      <c r="O239" s="703" t="str">
        <f t="shared" si="38"/>
        <v/>
      </c>
      <c r="P239" s="895" t="str">
        <f t="shared" si="39"/>
        <v/>
      </c>
      <c r="Q239" s="703" t="str">
        <f t="shared" si="40"/>
        <v/>
      </c>
      <c r="R239" s="821" t="str">
        <f t="shared" si="41"/>
        <v/>
      </c>
      <c r="S239" s="897"/>
      <c r="T239" s="925"/>
      <c r="U239" s="746"/>
    </row>
    <row r="240" spans="3:21" x14ac:dyDescent="0.25">
      <c r="C240" s="704"/>
      <c r="D240" s="705"/>
      <c r="E240" s="700"/>
      <c r="F240" s="706"/>
      <c r="G240" s="859"/>
      <c r="H240" s="859"/>
      <c r="I240" s="861" t="str">
        <f t="shared" si="33"/>
        <v/>
      </c>
      <c r="J240" s="861" t="str">
        <f t="shared" si="34"/>
        <v/>
      </c>
      <c r="K240" s="861" t="str">
        <f t="shared" si="35"/>
        <v/>
      </c>
      <c r="M240" s="702" t="str">
        <f t="shared" si="36"/>
        <v/>
      </c>
      <c r="N240" s="703" t="str">
        <f t="shared" si="37"/>
        <v/>
      </c>
      <c r="O240" s="703" t="str">
        <f t="shared" si="38"/>
        <v/>
      </c>
      <c r="P240" s="895" t="str">
        <f t="shared" si="39"/>
        <v/>
      </c>
      <c r="Q240" s="703" t="str">
        <f t="shared" si="40"/>
        <v/>
      </c>
      <c r="R240" s="821" t="str">
        <f t="shared" si="41"/>
        <v/>
      </c>
      <c r="S240" s="897"/>
      <c r="T240" s="925"/>
      <c r="U240" s="746"/>
    </row>
    <row r="241" spans="3:21" x14ac:dyDescent="0.25">
      <c r="C241" s="704"/>
      <c r="D241" s="705"/>
      <c r="E241" s="700"/>
      <c r="F241" s="706"/>
      <c r="G241" s="859"/>
      <c r="H241" s="859"/>
      <c r="I241" s="861" t="str">
        <f t="shared" si="33"/>
        <v/>
      </c>
      <c r="J241" s="861" t="str">
        <f t="shared" si="34"/>
        <v/>
      </c>
      <c r="K241" s="861" t="str">
        <f t="shared" si="35"/>
        <v/>
      </c>
      <c r="M241" s="702" t="str">
        <f t="shared" si="36"/>
        <v/>
      </c>
      <c r="N241" s="703" t="str">
        <f t="shared" si="37"/>
        <v/>
      </c>
      <c r="O241" s="703" t="str">
        <f t="shared" si="38"/>
        <v/>
      </c>
      <c r="P241" s="895" t="str">
        <f t="shared" si="39"/>
        <v/>
      </c>
      <c r="Q241" s="703" t="str">
        <f t="shared" si="40"/>
        <v/>
      </c>
      <c r="R241" s="821" t="str">
        <f t="shared" si="41"/>
        <v/>
      </c>
      <c r="S241" s="897"/>
      <c r="T241" s="925"/>
      <c r="U241" s="746"/>
    </row>
    <row r="242" spans="3:21" x14ac:dyDescent="0.25">
      <c r="C242" s="704"/>
      <c r="D242" s="705"/>
      <c r="E242" s="700"/>
      <c r="F242" s="706"/>
      <c r="G242" s="859"/>
      <c r="H242" s="859"/>
      <c r="I242" s="861" t="str">
        <f t="shared" si="33"/>
        <v/>
      </c>
      <c r="J242" s="861" t="str">
        <f t="shared" si="34"/>
        <v/>
      </c>
      <c r="K242" s="861" t="str">
        <f t="shared" si="35"/>
        <v/>
      </c>
      <c r="M242" s="702" t="str">
        <f t="shared" si="36"/>
        <v/>
      </c>
      <c r="N242" s="703" t="str">
        <f t="shared" si="37"/>
        <v/>
      </c>
      <c r="O242" s="703" t="str">
        <f t="shared" si="38"/>
        <v/>
      </c>
      <c r="P242" s="895" t="str">
        <f t="shared" si="39"/>
        <v/>
      </c>
      <c r="Q242" s="703" t="str">
        <f t="shared" si="40"/>
        <v/>
      </c>
      <c r="R242" s="821" t="str">
        <f t="shared" si="41"/>
        <v/>
      </c>
      <c r="S242" s="897"/>
      <c r="T242" s="925"/>
      <c r="U242" s="746"/>
    </row>
    <row r="243" spans="3:21" x14ac:dyDescent="0.25">
      <c r="C243" s="704"/>
      <c r="D243" s="705"/>
      <c r="E243" s="700"/>
      <c r="F243" s="706"/>
      <c r="G243" s="859"/>
      <c r="H243" s="859"/>
      <c r="I243" s="861" t="str">
        <f t="shared" si="33"/>
        <v/>
      </c>
      <c r="J243" s="861" t="str">
        <f t="shared" si="34"/>
        <v/>
      </c>
      <c r="K243" s="861" t="str">
        <f t="shared" si="35"/>
        <v/>
      </c>
      <c r="M243" s="702" t="str">
        <f t="shared" si="36"/>
        <v/>
      </c>
      <c r="N243" s="703" t="str">
        <f t="shared" si="37"/>
        <v/>
      </c>
      <c r="O243" s="703" t="str">
        <f t="shared" si="38"/>
        <v/>
      </c>
      <c r="P243" s="895" t="str">
        <f t="shared" si="39"/>
        <v/>
      </c>
      <c r="Q243" s="703" t="str">
        <f t="shared" si="40"/>
        <v/>
      </c>
      <c r="R243" s="821" t="str">
        <f t="shared" si="41"/>
        <v/>
      </c>
      <c r="S243" s="897"/>
      <c r="T243" s="925"/>
      <c r="U243" s="746"/>
    </row>
    <row r="244" spans="3:21" x14ac:dyDescent="0.25">
      <c r="C244" s="704"/>
      <c r="D244" s="705"/>
      <c r="E244" s="700"/>
      <c r="F244" s="706"/>
      <c r="G244" s="859"/>
      <c r="H244" s="859"/>
      <c r="I244" s="861" t="str">
        <f t="shared" si="33"/>
        <v/>
      </c>
      <c r="J244" s="861" t="str">
        <f t="shared" si="34"/>
        <v/>
      </c>
      <c r="K244" s="861" t="str">
        <f t="shared" si="35"/>
        <v/>
      </c>
      <c r="M244" s="702" t="str">
        <f t="shared" si="36"/>
        <v/>
      </c>
      <c r="N244" s="703" t="str">
        <f t="shared" si="37"/>
        <v/>
      </c>
      <c r="O244" s="703" t="str">
        <f t="shared" si="38"/>
        <v/>
      </c>
      <c r="P244" s="895" t="str">
        <f t="shared" si="39"/>
        <v/>
      </c>
      <c r="Q244" s="703" t="str">
        <f t="shared" si="40"/>
        <v/>
      </c>
      <c r="R244" s="821" t="str">
        <f t="shared" si="41"/>
        <v/>
      </c>
      <c r="S244" s="897"/>
      <c r="T244" s="925"/>
      <c r="U244" s="746"/>
    </row>
    <row r="245" spans="3:21" x14ac:dyDescent="0.25">
      <c r="C245" s="704"/>
      <c r="D245" s="705"/>
      <c r="E245" s="700"/>
      <c r="F245" s="706"/>
      <c r="G245" s="859"/>
      <c r="H245" s="859"/>
      <c r="I245" s="861" t="str">
        <f t="shared" si="33"/>
        <v/>
      </c>
      <c r="J245" s="861" t="str">
        <f t="shared" si="34"/>
        <v/>
      </c>
      <c r="K245" s="861" t="str">
        <f t="shared" si="35"/>
        <v/>
      </c>
      <c r="M245" s="702" t="str">
        <f t="shared" si="36"/>
        <v/>
      </c>
      <c r="N245" s="703" t="str">
        <f t="shared" si="37"/>
        <v/>
      </c>
      <c r="O245" s="703" t="str">
        <f t="shared" si="38"/>
        <v/>
      </c>
      <c r="P245" s="895" t="str">
        <f t="shared" si="39"/>
        <v/>
      </c>
      <c r="Q245" s="703" t="str">
        <f t="shared" si="40"/>
        <v/>
      </c>
      <c r="R245" s="821" t="str">
        <f t="shared" si="41"/>
        <v/>
      </c>
      <c r="S245" s="897"/>
      <c r="T245" s="925"/>
      <c r="U245" s="746"/>
    </row>
    <row r="246" spans="3:21" x14ac:dyDescent="0.25">
      <c r="C246" s="704"/>
      <c r="D246" s="705"/>
      <c r="E246" s="700"/>
      <c r="F246" s="706"/>
      <c r="G246" s="859"/>
      <c r="H246" s="859"/>
      <c r="I246" s="861" t="str">
        <f t="shared" si="33"/>
        <v/>
      </c>
      <c r="J246" s="861" t="str">
        <f t="shared" si="34"/>
        <v/>
      </c>
      <c r="K246" s="861" t="str">
        <f t="shared" si="35"/>
        <v/>
      </c>
      <c r="M246" s="702" t="str">
        <f t="shared" si="36"/>
        <v/>
      </c>
      <c r="N246" s="703" t="str">
        <f t="shared" si="37"/>
        <v/>
      </c>
      <c r="O246" s="703" t="str">
        <f t="shared" si="38"/>
        <v/>
      </c>
      <c r="P246" s="895" t="str">
        <f t="shared" si="39"/>
        <v/>
      </c>
      <c r="Q246" s="703" t="str">
        <f t="shared" si="40"/>
        <v/>
      </c>
      <c r="R246" s="821" t="str">
        <f t="shared" si="41"/>
        <v/>
      </c>
      <c r="S246" s="897"/>
      <c r="T246" s="925"/>
      <c r="U246" s="746"/>
    </row>
    <row r="247" spans="3:21" x14ac:dyDescent="0.25">
      <c r="C247" s="704"/>
      <c r="D247" s="705"/>
      <c r="E247" s="700"/>
      <c r="F247" s="706"/>
      <c r="G247" s="859"/>
      <c r="H247" s="859"/>
      <c r="I247" s="861" t="str">
        <f t="shared" si="33"/>
        <v/>
      </c>
      <c r="J247" s="861" t="str">
        <f t="shared" si="34"/>
        <v/>
      </c>
      <c r="K247" s="861" t="str">
        <f t="shared" si="35"/>
        <v/>
      </c>
      <c r="M247" s="702" t="str">
        <f t="shared" si="36"/>
        <v/>
      </c>
      <c r="N247" s="703" t="str">
        <f t="shared" si="37"/>
        <v/>
      </c>
      <c r="O247" s="703" t="str">
        <f t="shared" si="38"/>
        <v/>
      </c>
      <c r="P247" s="895" t="str">
        <f t="shared" si="39"/>
        <v/>
      </c>
      <c r="Q247" s="703" t="str">
        <f t="shared" si="40"/>
        <v/>
      </c>
      <c r="R247" s="821" t="str">
        <f t="shared" si="41"/>
        <v/>
      </c>
      <c r="S247" s="897"/>
      <c r="T247" s="925"/>
      <c r="U247" s="746"/>
    </row>
    <row r="248" spans="3:21" x14ac:dyDescent="0.25">
      <c r="C248" s="704"/>
      <c r="D248" s="705"/>
      <c r="E248" s="700"/>
      <c r="F248" s="706"/>
      <c r="G248" s="859"/>
      <c r="H248" s="859"/>
      <c r="I248" s="861" t="str">
        <f t="shared" si="33"/>
        <v/>
      </c>
      <c r="J248" s="861" t="str">
        <f t="shared" si="34"/>
        <v/>
      </c>
      <c r="K248" s="861" t="str">
        <f t="shared" si="35"/>
        <v/>
      </c>
      <c r="M248" s="702" t="str">
        <f t="shared" si="36"/>
        <v/>
      </c>
      <c r="N248" s="703" t="str">
        <f t="shared" si="37"/>
        <v/>
      </c>
      <c r="O248" s="703" t="str">
        <f t="shared" si="38"/>
        <v/>
      </c>
      <c r="P248" s="895" t="str">
        <f t="shared" si="39"/>
        <v/>
      </c>
      <c r="Q248" s="703" t="str">
        <f t="shared" si="40"/>
        <v/>
      </c>
      <c r="R248" s="821" t="str">
        <f t="shared" si="41"/>
        <v/>
      </c>
      <c r="S248" s="897"/>
      <c r="T248" s="925"/>
      <c r="U248" s="746"/>
    </row>
    <row r="249" spans="3:21" x14ac:dyDescent="0.25">
      <c r="C249" s="704"/>
      <c r="D249" s="705"/>
      <c r="E249" s="700"/>
      <c r="F249" s="706"/>
      <c r="G249" s="859"/>
      <c r="H249" s="859"/>
      <c r="I249" s="861" t="str">
        <f t="shared" si="33"/>
        <v/>
      </c>
      <c r="J249" s="861" t="str">
        <f t="shared" si="34"/>
        <v/>
      </c>
      <c r="K249" s="861" t="str">
        <f t="shared" si="35"/>
        <v/>
      </c>
      <c r="M249" s="702" t="str">
        <f t="shared" si="36"/>
        <v/>
      </c>
      <c r="N249" s="703" t="str">
        <f t="shared" si="37"/>
        <v/>
      </c>
      <c r="O249" s="703" t="str">
        <f t="shared" si="38"/>
        <v/>
      </c>
      <c r="P249" s="895" t="str">
        <f t="shared" si="39"/>
        <v/>
      </c>
      <c r="Q249" s="703" t="str">
        <f t="shared" si="40"/>
        <v/>
      </c>
      <c r="R249" s="821" t="str">
        <f t="shared" si="41"/>
        <v/>
      </c>
      <c r="S249" s="897"/>
      <c r="T249" s="925"/>
      <c r="U249" s="746"/>
    </row>
    <row r="250" spans="3:21" x14ac:dyDescent="0.25">
      <c r="C250" s="704"/>
      <c r="D250" s="705"/>
      <c r="E250" s="700"/>
      <c r="F250" s="706"/>
      <c r="G250" s="859"/>
      <c r="H250" s="859"/>
      <c r="I250" s="861" t="str">
        <f t="shared" si="33"/>
        <v/>
      </c>
      <c r="J250" s="861" t="str">
        <f t="shared" si="34"/>
        <v/>
      </c>
      <c r="K250" s="861" t="str">
        <f t="shared" si="35"/>
        <v/>
      </c>
      <c r="M250" s="702" t="str">
        <f t="shared" si="36"/>
        <v/>
      </c>
      <c r="N250" s="703" t="str">
        <f t="shared" si="37"/>
        <v/>
      </c>
      <c r="O250" s="703" t="str">
        <f t="shared" si="38"/>
        <v/>
      </c>
      <c r="P250" s="895" t="str">
        <f t="shared" si="39"/>
        <v/>
      </c>
      <c r="Q250" s="703" t="str">
        <f t="shared" si="40"/>
        <v/>
      </c>
      <c r="R250" s="821" t="str">
        <f t="shared" si="41"/>
        <v/>
      </c>
      <c r="S250" s="897"/>
      <c r="T250" s="925"/>
      <c r="U250" s="746"/>
    </row>
    <row r="251" spans="3:21" x14ac:dyDescent="0.25">
      <c r="C251" s="704"/>
      <c r="D251" s="705"/>
      <c r="E251" s="700"/>
      <c r="F251" s="706"/>
      <c r="G251" s="859"/>
      <c r="H251" s="859"/>
      <c r="I251" s="861" t="str">
        <f t="shared" si="33"/>
        <v/>
      </c>
      <c r="J251" s="861" t="str">
        <f t="shared" si="34"/>
        <v/>
      </c>
      <c r="K251" s="861" t="str">
        <f t="shared" si="35"/>
        <v/>
      </c>
      <c r="M251" s="702" t="str">
        <f t="shared" si="36"/>
        <v/>
      </c>
      <c r="N251" s="703" t="str">
        <f t="shared" ref="N251:N258" si="42">IFERROR(INDEX(CNTR_FuelListIsZero, MATCH(E251, CNTR_FuelListNames, 0)),"")</f>
        <v/>
      </c>
      <c r="O251" s="703" t="str">
        <f t="shared" ref="O251:O258" si="43">IF(E251="","",IFERROR(NOT(ISNUMBER(INDEX(CNTR_FuelListSupportRate, MATCH(E251, CNTR_FuelListNames, 0)))),  ""))</f>
        <v/>
      </c>
      <c r="P251" s="895" t="str">
        <f t="shared" ref="P251:P258" si="44">IFERROR( OR( INDEX(CNTR_FuelListCompleteData, MATCH(E251, CNTR_FuelListNames, 0)) = FALSE,   INDEX(CNTR_FuelListIsFossil, MATCH(E251, CNTR_FuelListNames, 0)) = TRUE),  "")</f>
        <v/>
      </c>
      <c r="Q251" s="703" t="str">
        <f t="shared" ref="Q251:Q258" si="45">IFERROR(IF(INDEX(CNTR_FuelListSubType, MATCH(E251, CNTR_FuelListNames, 0)) = "",  "",  INDEX(CNTR_FuelListSubType, MATCH(E251, CNTR_FuelListNames, 0))),  "")</f>
        <v/>
      </c>
      <c r="R251" s="821" t="str">
        <f t="shared" ref="R251:R258" si="46">IFERROR(IF( AND(D251=TRUE, ISNUMBER(INDEX(CNTR_FuelListSupportRate, MATCH( E251, CNTR_FuelListNames, 0)))),   1,   INDEX(CNTR_FuelListSupportRate, MATCH(E251, CNTR_FuelListNames, 0))),  "")</f>
        <v/>
      </c>
      <c r="S251" s="897"/>
      <c r="T251" s="925"/>
      <c r="U251" s="746"/>
    </row>
    <row r="252" spans="3:21" x14ac:dyDescent="0.25">
      <c r="C252" s="704"/>
      <c r="D252" s="705"/>
      <c r="E252" s="700"/>
      <c r="F252" s="706"/>
      <c r="G252" s="859"/>
      <c r="H252" s="859"/>
      <c r="I252" s="861" t="str">
        <f t="shared" ref="I252:I258" si="47">IF(ISNUMBER($F252), IFERROR($F252*G252,"--"),"")</f>
        <v/>
      </c>
      <c r="J252" s="861" t="str">
        <f t="shared" ref="J252:J258" si="48">IF(AND(ISNUMBER($F252),N252=TRUE), IFERROR($F252*G252,"--"),"")</f>
        <v/>
      </c>
      <c r="K252" s="861" t="str">
        <f t="shared" ref="K252:K258" si="49">IF(ISNUMBER($F252), IFERROR($F252*H252,"--"),"")</f>
        <v/>
      </c>
      <c r="M252" s="702" t="str">
        <f t="shared" ref="M252:M258" si="50">IF(E252="","", IFERROR(IF(N252 = FALSE,  TRUE,  FALSE),  ""))</f>
        <v/>
      </c>
      <c r="N252" s="703" t="str">
        <f t="shared" si="42"/>
        <v/>
      </c>
      <c r="O252" s="703" t="str">
        <f t="shared" si="43"/>
        <v/>
      </c>
      <c r="P252" s="895" t="str">
        <f t="shared" si="44"/>
        <v/>
      </c>
      <c r="Q252" s="703" t="str">
        <f t="shared" si="45"/>
        <v/>
      </c>
      <c r="R252" s="821" t="str">
        <f t="shared" si="46"/>
        <v/>
      </c>
      <c r="S252" s="897"/>
      <c r="T252" s="925"/>
      <c r="U252" s="746"/>
    </row>
    <row r="253" spans="3:21" x14ac:dyDescent="0.25">
      <c r="C253" s="704"/>
      <c r="D253" s="705"/>
      <c r="E253" s="700"/>
      <c r="F253" s="706"/>
      <c r="G253" s="859"/>
      <c r="H253" s="859"/>
      <c r="I253" s="861" t="str">
        <f t="shared" si="47"/>
        <v/>
      </c>
      <c r="J253" s="861" t="str">
        <f t="shared" si="48"/>
        <v/>
      </c>
      <c r="K253" s="861" t="str">
        <f t="shared" si="49"/>
        <v/>
      </c>
      <c r="M253" s="702" t="str">
        <f t="shared" si="50"/>
        <v/>
      </c>
      <c r="N253" s="703" t="str">
        <f t="shared" si="42"/>
        <v/>
      </c>
      <c r="O253" s="703" t="str">
        <f t="shared" si="43"/>
        <v/>
      </c>
      <c r="P253" s="895" t="str">
        <f t="shared" si="44"/>
        <v/>
      </c>
      <c r="Q253" s="703" t="str">
        <f t="shared" si="45"/>
        <v/>
      </c>
      <c r="R253" s="821" t="str">
        <f t="shared" si="46"/>
        <v/>
      </c>
      <c r="S253" s="897"/>
      <c r="T253" s="925"/>
      <c r="U253" s="746"/>
    </row>
    <row r="254" spans="3:21" x14ac:dyDescent="0.25">
      <c r="C254" s="704"/>
      <c r="D254" s="705"/>
      <c r="E254" s="700"/>
      <c r="F254" s="706"/>
      <c r="G254" s="859"/>
      <c r="H254" s="859"/>
      <c r="I254" s="861" t="str">
        <f t="shared" si="47"/>
        <v/>
      </c>
      <c r="J254" s="861" t="str">
        <f t="shared" si="48"/>
        <v/>
      </c>
      <c r="K254" s="861" t="str">
        <f t="shared" si="49"/>
        <v/>
      </c>
      <c r="M254" s="702" t="str">
        <f t="shared" si="50"/>
        <v/>
      </c>
      <c r="N254" s="703" t="str">
        <f t="shared" si="42"/>
        <v/>
      </c>
      <c r="O254" s="703" t="str">
        <f t="shared" si="43"/>
        <v/>
      </c>
      <c r="P254" s="895" t="str">
        <f t="shared" si="44"/>
        <v/>
      </c>
      <c r="Q254" s="703" t="str">
        <f t="shared" si="45"/>
        <v/>
      </c>
      <c r="R254" s="821" t="str">
        <f t="shared" si="46"/>
        <v/>
      </c>
      <c r="S254" s="897"/>
      <c r="T254" s="925"/>
      <c r="U254" s="746"/>
    </row>
    <row r="255" spans="3:21" x14ac:dyDescent="0.25">
      <c r="C255" s="704"/>
      <c r="D255" s="705"/>
      <c r="E255" s="700"/>
      <c r="F255" s="706"/>
      <c r="G255" s="859"/>
      <c r="H255" s="859"/>
      <c r="I255" s="861" t="str">
        <f t="shared" si="47"/>
        <v/>
      </c>
      <c r="J255" s="861" t="str">
        <f t="shared" si="48"/>
        <v/>
      </c>
      <c r="K255" s="861" t="str">
        <f t="shared" si="49"/>
        <v/>
      </c>
      <c r="M255" s="702" t="str">
        <f t="shared" si="50"/>
        <v/>
      </c>
      <c r="N255" s="703" t="str">
        <f t="shared" si="42"/>
        <v/>
      </c>
      <c r="O255" s="703" t="str">
        <f t="shared" si="43"/>
        <v/>
      </c>
      <c r="P255" s="895" t="str">
        <f t="shared" si="44"/>
        <v/>
      </c>
      <c r="Q255" s="703" t="str">
        <f t="shared" si="45"/>
        <v/>
      </c>
      <c r="R255" s="821" t="str">
        <f t="shared" si="46"/>
        <v/>
      </c>
      <c r="S255" s="897"/>
      <c r="T255" s="925"/>
      <c r="U255" s="746"/>
    </row>
    <row r="256" spans="3:21" x14ac:dyDescent="0.25">
      <c r="C256" s="704"/>
      <c r="D256" s="705"/>
      <c r="E256" s="700"/>
      <c r="F256" s="706"/>
      <c r="G256" s="859"/>
      <c r="H256" s="859"/>
      <c r="I256" s="861" t="str">
        <f t="shared" si="47"/>
        <v/>
      </c>
      <c r="J256" s="861" t="str">
        <f t="shared" si="48"/>
        <v/>
      </c>
      <c r="K256" s="861" t="str">
        <f t="shared" si="49"/>
        <v/>
      </c>
      <c r="M256" s="702" t="str">
        <f t="shared" si="50"/>
        <v/>
      </c>
      <c r="N256" s="703" t="str">
        <f t="shared" si="42"/>
        <v/>
      </c>
      <c r="O256" s="703" t="str">
        <f t="shared" si="43"/>
        <v/>
      </c>
      <c r="P256" s="895" t="str">
        <f t="shared" si="44"/>
        <v/>
      </c>
      <c r="Q256" s="703" t="str">
        <f t="shared" si="45"/>
        <v/>
      </c>
      <c r="R256" s="821" t="str">
        <f t="shared" si="46"/>
        <v/>
      </c>
      <c r="S256" s="897"/>
      <c r="T256" s="925"/>
      <c r="U256" s="746"/>
    </row>
    <row r="257" spans="3:21" x14ac:dyDescent="0.25">
      <c r="C257" s="704"/>
      <c r="D257" s="705"/>
      <c r="E257" s="700"/>
      <c r="F257" s="706"/>
      <c r="G257" s="859"/>
      <c r="H257" s="859"/>
      <c r="I257" s="861" t="str">
        <f t="shared" si="47"/>
        <v/>
      </c>
      <c r="J257" s="861" t="str">
        <f t="shared" si="48"/>
        <v/>
      </c>
      <c r="K257" s="861" t="str">
        <f t="shared" si="49"/>
        <v/>
      </c>
      <c r="M257" s="702" t="str">
        <f t="shared" si="50"/>
        <v/>
      </c>
      <c r="N257" s="703" t="str">
        <f t="shared" si="42"/>
        <v/>
      </c>
      <c r="O257" s="703" t="str">
        <f t="shared" si="43"/>
        <v/>
      </c>
      <c r="P257" s="895" t="str">
        <f t="shared" si="44"/>
        <v/>
      </c>
      <c r="Q257" s="703" t="str">
        <f t="shared" si="45"/>
        <v/>
      </c>
      <c r="R257" s="821" t="str">
        <f t="shared" si="46"/>
        <v/>
      </c>
      <c r="S257" s="897"/>
      <c r="T257" s="925"/>
      <c r="U257" s="746"/>
    </row>
    <row r="258" spans="3:21" x14ac:dyDescent="0.25">
      <c r="C258" s="707"/>
      <c r="D258" s="708"/>
      <c r="E258" s="709"/>
      <c r="F258" s="710"/>
      <c r="G258" s="860"/>
      <c r="H258" s="860"/>
      <c r="I258" s="862" t="str">
        <f t="shared" si="47"/>
        <v/>
      </c>
      <c r="J258" s="862" t="str">
        <f t="shared" si="48"/>
        <v/>
      </c>
      <c r="K258" s="861" t="str">
        <f t="shared" si="49"/>
        <v/>
      </c>
      <c r="M258" s="702" t="str">
        <f t="shared" si="50"/>
        <v/>
      </c>
      <c r="N258" s="703" t="str">
        <f t="shared" si="42"/>
        <v/>
      </c>
      <c r="O258" s="703" t="str">
        <f t="shared" si="43"/>
        <v/>
      </c>
      <c r="P258" s="895" t="str">
        <f t="shared" si="44"/>
        <v/>
      </c>
      <c r="Q258" s="703" t="str">
        <f t="shared" si="45"/>
        <v/>
      </c>
      <c r="R258" s="821" t="str">
        <f t="shared" si="46"/>
        <v/>
      </c>
      <c r="S258" s="897"/>
      <c r="T258" s="925"/>
      <c r="U258" s="746"/>
    </row>
    <row r="259" spans="3:21" x14ac:dyDescent="0.25">
      <c r="C259" s="711" t="s">
        <v>241</v>
      </c>
      <c r="D259" s="711"/>
      <c r="E259" s="711"/>
      <c r="F259" s="712">
        <f>SUM(F59:F258)</f>
        <v>652</v>
      </c>
      <c r="G259" s="864">
        <f>IFERROR(I259/$F259,"")</f>
        <v>0.14877300613496933</v>
      </c>
      <c r="H259" s="864">
        <f>IFERROR(K259/$F259,"")</f>
        <v>0.25306748466257667</v>
      </c>
      <c r="I259" s="863">
        <f t="shared" ref="I259:K259" si="51">SUM(I59:I258)</f>
        <v>97</v>
      </c>
      <c r="J259" s="863">
        <f t="shared" si="51"/>
        <v>95</v>
      </c>
      <c r="K259" s="863">
        <f t="shared" si="51"/>
        <v>165</v>
      </c>
      <c r="M259" s="713"/>
      <c r="N259" s="714"/>
      <c r="O259" s="714"/>
      <c r="P259" s="714"/>
      <c r="Q259" s="714"/>
      <c r="R259" s="714"/>
      <c r="S259" s="898"/>
      <c r="T259" s="925"/>
      <c r="U259" s="746"/>
    </row>
    <row r="260" spans="3:21" x14ac:dyDescent="0.25">
      <c r="T260" s="925"/>
      <c r="U260" s="746"/>
    </row>
    <row r="261" spans="3:21" ht="13.2" customHeight="1" x14ac:dyDescent="0.25">
      <c r="C261" s="1279" t="s">
        <v>2090</v>
      </c>
      <c r="D261" s="1280"/>
      <c r="E261" s="1280"/>
      <c r="F261" s="1280"/>
      <c r="G261" s="1280"/>
      <c r="H261" s="1280"/>
      <c r="I261" s="1280"/>
      <c r="J261" s="1280"/>
      <c r="K261" s="1281"/>
      <c r="T261" s="925"/>
      <c r="U261" s="746" t="s">
        <v>2076</v>
      </c>
    </row>
  </sheetData>
  <sheetProtection sheet="1" objects="1" scenarios="1" formatCells="0" formatColumns="0" formatRows="0" insertColumns="0" insertRows="0"/>
  <mergeCells count="60">
    <mergeCell ref="C56:K56"/>
    <mergeCell ref="C261:K261"/>
    <mergeCell ref="C41:D41"/>
    <mergeCell ref="E41:K41"/>
    <mergeCell ref="C55:K55"/>
    <mergeCell ref="C45:K45"/>
    <mergeCell ref="D48:K48"/>
    <mergeCell ref="D49:K49"/>
    <mergeCell ref="D50:K50"/>
    <mergeCell ref="C47:K47"/>
    <mergeCell ref="C53:D53"/>
    <mergeCell ref="C46:K46"/>
    <mergeCell ref="C51:K51"/>
    <mergeCell ref="C52:K52"/>
    <mergeCell ref="C13:K13"/>
    <mergeCell ref="C14:K14"/>
    <mergeCell ref="C7:K7"/>
    <mergeCell ref="C9:K9"/>
    <mergeCell ref="C10:K10"/>
    <mergeCell ref="C11:K11"/>
    <mergeCell ref="C12:K12"/>
    <mergeCell ref="C8:K8"/>
    <mergeCell ref="D20:K20"/>
    <mergeCell ref="C22:D22"/>
    <mergeCell ref="C21:K21"/>
    <mergeCell ref="E22:K22"/>
    <mergeCell ref="E23:K23"/>
    <mergeCell ref="C23:D25"/>
    <mergeCell ref="E24:K24"/>
    <mergeCell ref="E25:K25"/>
    <mergeCell ref="C15:K15"/>
    <mergeCell ref="D16:K16"/>
    <mergeCell ref="D17:K17"/>
    <mergeCell ref="D18:K18"/>
    <mergeCell ref="D19:K19"/>
    <mergeCell ref="C27:K27"/>
    <mergeCell ref="C28:K28"/>
    <mergeCell ref="C29:K29"/>
    <mergeCell ref="C31:K31"/>
    <mergeCell ref="C32:K32"/>
    <mergeCell ref="C33:K33"/>
    <mergeCell ref="C30:K30"/>
    <mergeCell ref="C34:D34"/>
    <mergeCell ref="E34:K34"/>
    <mergeCell ref="C35:D35"/>
    <mergeCell ref="E35:K35"/>
    <mergeCell ref="C36:D36"/>
    <mergeCell ref="E36:K36"/>
    <mergeCell ref="C37:D37"/>
    <mergeCell ref="E37:K37"/>
    <mergeCell ref="C38:D38"/>
    <mergeCell ref="E38:K38"/>
    <mergeCell ref="C39:D39"/>
    <mergeCell ref="E39:K39"/>
    <mergeCell ref="C40:D40"/>
    <mergeCell ref="E40:K40"/>
    <mergeCell ref="C43:D43"/>
    <mergeCell ref="E43:K43"/>
    <mergeCell ref="C42:D42"/>
    <mergeCell ref="E42:K42"/>
  </mergeCells>
  <conditionalFormatting sqref="F59:H258">
    <cfRule type="expression" dxfId="45" priority="328">
      <formula>$P59=TRUE</formula>
    </cfRule>
  </conditionalFormatting>
  <conditionalFormatting sqref="H59:H258">
    <cfRule type="expression" dxfId="44" priority="3">
      <formula>$O59=TRUE</formula>
    </cfRule>
  </conditionalFormatting>
  <conditionalFormatting sqref="J59:J258">
    <cfRule type="expression" dxfId="43" priority="4">
      <formula>IF($M59=TRUE,TRUE,FALSE)</formula>
    </cfRule>
  </conditionalFormatting>
  <dataValidations count="3">
    <dataValidation type="list" allowBlank="1" showInputMessage="1" showErrorMessage="1" sqref="D59:D258" xr:uid="{00000000-0002-0000-0700-000000000000}">
      <formula1>TrueFalse</formula1>
    </dataValidation>
    <dataValidation type="list" allowBlank="1" showInputMessage="1" showErrorMessage="1" sqref="E59:E258" xr:uid="{00000000-0002-0000-0700-000001000000}">
      <formula1>INDIRECT(CNTR_FuelSelection)</formula1>
    </dataValidation>
    <dataValidation type="decimal" allowBlank="1" showInputMessage="1" showErrorMessage="1" sqref="G59:H258" xr:uid="{00000000-0002-0000-0700-000002000000}">
      <formula1>0</formula1>
      <formula2>1</formula2>
    </dataValidation>
  </dataValidations>
  <hyperlinks>
    <hyperlink ref="C56:K56" location="JUMP_5c" display="When ready with entries in this sheet, for returning to entering data in section 5c (fuel quantities used in sheet &quot;Emissions overview&quot;), please click here." xr:uid="{00000000-0004-0000-0700-000000000000}"/>
    <hyperlink ref="C261:K261" location="JUMP_5c" display="When ready with entries in this sheet, for returning to entering data in section 5c (fuel quantities used in sheet &quot;Emissions overview&quot;), please click here." xr:uid="{00000000-0004-0000-0700-000001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6">
    <tabColor rgb="FF7030A0"/>
  </sheetPr>
  <dimension ref="A1:M32"/>
  <sheetViews>
    <sheetView topLeftCell="B10" zoomScale="115" zoomScaleNormal="115" workbookViewId="0">
      <selection activeCell="H19" sqref="H19"/>
    </sheetView>
  </sheetViews>
  <sheetFormatPr defaultColWidth="9.109375" defaultRowHeight="13.8" x14ac:dyDescent="0.25"/>
  <cols>
    <col min="1" max="1" width="4.33203125" style="727" hidden="1" customWidth="1"/>
    <col min="2" max="2" width="4.33203125" style="721" customWidth="1"/>
    <col min="3" max="3" width="5.44140625" style="721" customWidth="1"/>
    <col min="4" max="4" width="32.6640625" style="721" customWidth="1"/>
    <col min="5" max="9" width="12.6640625" style="721" customWidth="1"/>
    <col min="10" max="10" width="3.6640625" style="721" customWidth="1"/>
    <col min="11" max="11" width="9.109375" style="727" hidden="1" customWidth="1"/>
    <col min="12" max="12" width="3.6640625" style="721" customWidth="1"/>
    <col min="13" max="13" width="9.109375" style="805"/>
    <col min="14" max="14" width="9.109375" style="721" customWidth="1"/>
    <col min="15" max="16384" width="9.109375" style="721"/>
  </cols>
  <sheetData>
    <row r="1" spans="1:13" s="727" customFormat="1" hidden="1" x14ac:dyDescent="0.25">
      <c r="A1" s="727" t="s">
        <v>38</v>
      </c>
      <c r="K1" s="727" t="s">
        <v>38</v>
      </c>
      <c r="M1" s="804"/>
    </row>
    <row r="3" spans="1:13" ht="17.399999999999999" x14ac:dyDescent="0.25">
      <c r="C3" s="715" t="s">
        <v>242</v>
      </c>
      <c r="M3" s="953" t="s">
        <v>1970</v>
      </c>
    </row>
    <row r="5" spans="1:13" ht="15.6" x14ac:dyDescent="0.25">
      <c r="C5" s="716" t="s">
        <v>5</v>
      </c>
      <c r="D5" s="1288" t="s">
        <v>6</v>
      </c>
      <c r="E5" s="1289"/>
      <c r="F5" s="1289"/>
      <c r="G5" s="1289"/>
      <c r="H5" s="1289"/>
      <c r="I5" s="991"/>
    </row>
    <row r="6" spans="1:13" x14ac:dyDescent="0.25">
      <c r="H6" s="722"/>
    </row>
    <row r="7" spans="1:13" ht="26.4" customHeight="1" x14ac:dyDescent="0.25">
      <c r="C7" s="730" t="s">
        <v>33</v>
      </c>
      <c r="D7" s="999" t="s">
        <v>243</v>
      </c>
      <c r="E7" s="999"/>
      <c r="F7" s="999"/>
      <c r="G7" s="999"/>
      <c r="H7" s="999"/>
      <c r="I7" s="960"/>
      <c r="M7" s="721"/>
    </row>
    <row r="8" spans="1:13" ht="13.2" customHeight="1" x14ac:dyDescent="0.25">
      <c r="C8" s="723"/>
      <c r="D8" s="1285" t="s">
        <v>244</v>
      </c>
      <c r="E8" s="968"/>
      <c r="F8" s="968"/>
      <c r="G8" s="968"/>
      <c r="H8" s="968"/>
      <c r="I8" s="726"/>
      <c r="J8" s="722"/>
      <c r="K8" s="373" t="s">
        <v>245</v>
      </c>
      <c r="L8" s="722"/>
      <c r="M8" s="721"/>
    </row>
    <row r="9" spans="1:13" ht="4.95" customHeight="1" x14ac:dyDescent="0.25">
      <c r="H9" s="722"/>
      <c r="M9" s="721"/>
    </row>
    <row r="10" spans="1:13" ht="40.950000000000003" customHeight="1" x14ac:dyDescent="0.25">
      <c r="C10" s="723"/>
      <c r="D10" s="1290" t="str">
        <f>IF(CNTR_ETS3c6OptOut,ErrMsg_YouOptOut,ErrMsg_Art3c6OK)</f>
        <v>You are applying for support for the use of eligible aviation fuels under Article 3c(6) of the EU ETS Directive using the data displayed below.</v>
      </c>
      <c r="E10" s="1291"/>
      <c r="F10" s="1291"/>
      <c r="G10" s="1291"/>
      <c r="H10" s="1291"/>
      <c r="I10" s="1292"/>
      <c r="J10" s="722"/>
      <c r="K10" s="728"/>
      <c r="L10" s="722"/>
      <c r="M10" s="721"/>
    </row>
    <row r="11" spans="1:13" ht="13.2" customHeight="1" x14ac:dyDescent="0.25">
      <c r="C11" s="723"/>
      <c r="D11" s="645"/>
      <c r="E11" s="338"/>
      <c r="F11" s="338"/>
      <c r="G11" s="338"/>
      <c r="H11" s="338"/>
      <c r="I11" s="722"/>
      <c r="J11" s="722"/>
      <c r="K11" s="728"/>
      <c r="L11" s="722"/>
      <c r="M11" s="721"/>
    </row>
    <row r="12" spans="1:13" x14ac:dyDescent="0.25">
      <c r="C12" s="547" t="s">
        <v>34</v>
      </c>
      <c r="D12" s="390" t="s">
        <v>246</v>
      </c>
      <c r="M12" s="721"/>
    </row>
    <row r="13" spans="1:13" x14ac:dyDescent="0.25">
      <c r="C13" s="723"/>
      <c r="D13" s="1285" t="s">
        <v>247</v>
      </c>
      <c r="E13" s="968"/>
      <c r="F13" s="968"/>
      <c r="G13" s="968"/>
      <c r="H13" s="968"/>
      <c r="I13" s="968"/>
      <c r="M13" s="721"/>
    </row>
    <row r="14" spans="1:13" x14ac:dyDescent="0.25">
      <c r="C14" s="723"/>
      <c r="D14" s="1285" t="s">
        <v>248</v>
      </c>
      <c r="E14" s="968"/>
      <c r="F14" s="968"/>
      <c r="G14" s="968"/>
      <c r="H14" s="968"/>
      <c r="I14" s="968"/>
      <c r="M14" s="721"/>
    </row>
    <row r="15" spans="1:13" ht="27" customHeight="1" x14ac:dyDescent="0.25">
      <c r="C15" s="723"/>
      <c r="D15" s="1285" t="s">
        <v>249</v>
      </c>
      <c r="E15" s="968"/>
      <c r="F15" s="968"/>
      <c r="G15" s="968"/>
      <c r="H15" s="968"/>
      <c r="I15" s="968"/>
      <c r="M15" s="721"/>
    </row>
    <row r="16" spans="1:13" x14ac:dyDescent="0.25">
      <c r="C16" s="723"/>
      <c r="D16" s="734"/>
      <c r="E16" s="1293" t="s">
        <v>250</v>
      </c>
      <c r="F16" s="1293"/>
      <c r="G16" s="1293"/>
      <c r="H16" s="1293"/>
      <c r="I16" s="734"/>
      <c r="K16" s="727" t="s">
        <v>251</v>
      </c>
      <c r="M16" s="721"/>
    </row>
    <row r="17" spans="1:13" s="724" customFormat="1" ht="26.4" customHeight="1" x14ac:dyDescent="0.25">
      <c r="A17" s="729"/>
      <c r="C17" s="731"/>
      <c r="D17" s="735" t="s">
        <v>252</v>
      </c>
      <c r="E17" s="732">
        <v>0.5</v>
      </c>
      <c r="F17" s="732">
        <v>0.7</v>
      </c>
      <c r="G17" s="732">
        <v>0.95</v>
      </c>
      <c r="H17" s="732">
        <v>1</v>
      </c>
      <c r="I17" s="733" t="s">
        <v>253</v>
      </c>
      <c r="K17" s="729"/>
    </row>
    <row r="18" spans="1:13" x14ac:dyDescent="0.25">
      <c r="C18" s="723"/>
      <c r="D18" s="738" t="s">
        <v>254</v>
      </c>
      <c r="E18" s="865" t="str">
        <f>IF(CNTR_ETS3c6OptOut=TRUE, "",
                    IF(SUMIFS('Annex Aerodromes'!$K$59:$K$258, 'Annex Aerodromes'!$O$59:$O$258, FALSE, 'Annex Aerodromes'!$P$59:$P$258, FALSE, 'Annex Aerodromes'!$R$59:$R$258, E$17, 'Annex Aerodromes'!$Q$59:$Q$258, $K18) = 0,    "",
                    SUMIFS('Annex Aerodromes'!$K$59:$K$258, 'Annex Aerodromes'!$O$59:$O$258, FALSE, 'Annex Aerodromes'!$P$59:$P$258, FALSE, 'Annex Aerodromes'!$R$59:$R$258, E$17, 'Annex Aerodromes'!$Q$59:$Q$258, $K18)))</f>
        <v/>
      </c>
      <c r="F18" s="740" t="str">
        <f>IF(CNTR_ETS3c6OptOut=TRUE, "",
                    IF(SUMIFS('Annex Aerodromes'!$K$59:$K$258, 'Annex Aerodromes'!$O$59:$O$258, FALSE, 'Annex Aerodromes'!$P$59:$P$258, FALSE, 'Annex Aerodromes'!$R$59:$R$258, F$17, 'Annex Aerodromes'!$Q$59:$Q$258, $K18) = 0,    "",
                    SUMIFS('Annex Aerodromes'!$K$59:$K$258, 'Annex Aerodromes'!$O$59:$O$258, FALSE, 'Annex Aerodromes'!$P$59:$P$258, FALSE, 'Annex Aerodromes'!$R$59:$R$258, F$17, 'Annex Aerodromes'!$Q$59:$Q$258, $K18)))</f>
        <v/>
      </c>
      <c r="G18" s="865" t="str">
        <f>IF(CNTR_ETS3c6OptOut=TRUE, "",
                    IF(SUMIFS('Annex Aerodromes'!$K$59:$K$258, 'Annex Aerodromes'!$O$59:$O$258, FALSE, 'Annex Aerodromes'!$P$59:$P$258, FALSE, 'Annex Aerodromes'!$R$59:$R$258, G$17, 'Annex Aerodromes'!$Q$59:$Q$258, $K18) = 0,    "",
                    SUMIFS('Annex Aerodromes'!$K$59:$K$258, 'Annex Aerodromes'!$O$59:$O$258, FALSE, 'Annex Aerodromes'!$P$59:$P$258, FALSE, 'Annex Aerodromes'!$R$59:$R$258, G$17, 'Annex Aerodromes'!$Q$59:$Q$258, $K18)))</f>
        <v/>
      </c>
      <c r="H18" s="740" t="str">
        <f>IF(CNTR_ETS3c6OptOut=TRUE, "",
                    IF(SUMIFS('Annex Aerodromes'!$K$59:$K$258, 'Annex Aerodromes'!$O$59:$O$258, FALSE, 'Annex Aerodromes'!$P$59:$P$258, FALSE, 'Annex Aerodromes'!$R$59:$R$258, H$17, 'Annex Aerodromes'!$Q$59:$Q$258, $K18) = 0,    "",
                    SUMIFS('Annex Aerodromes'!$K$59:$K$258, 'Annex Aerodromes'!$O$59:$O$258, FALSE, 'Annex Aerodromes'!$P$59:$P$258, FALSE, 'Annex Aerodromes'!$R$59:$R$258, H$17, 'Annex Aerodromes'!$Q$59:$Q$258, $K18)))</f>
        <v/>
      </c>
      <c r="I18" s="741" t="str">
        <f>IF(SUM(E18:H18)=0,"",SUM(E18:H18))</f>
        <v/>
      </c>
      <c r="K18" s="736" t="str">
        <f t="shared" ref="K18:K25" si="0">INDEX(CNST_AltFuelTypesShort,MATCH(D18,CNST_AltFuelTypes,0))</f>
        <v>Adv. Biofuel</v>
      </c>
      <c r="M18" s="721"/>
    </row>
    <row r="19" spans="1:13" x14ac:dyDescent="0.25">
      <c r="C19" s="723"/>
      <c r="D19" s="738" t="s">
        <v>93</v>
      </c>
      <c r="E19" s="740">
        <f>IF(CNTR_ETS3c6OptOut=TRUE, "",
                    IF(SUMIFS('Annex Aerodromes'!$K$59:$K$258, 'Annex Aerodromes'!$O$59:$O$258, FALSE, 'Annex Aerodromes'!$P$59:$P$258, FALSE, 'Annex Aerodromes'!$R$59:$R$258, E$17, 'Annex Aerodromes'!$Q$59:$Q$258, $K19) = 0,    "",
                    SUMIFS('Annex Aerodromes'!$K$59:$K$258, 'Annex Aerodromes'!$O$59:$O$258, FALSE, 'Annex Aerodromes'!$P$59:$P$258, FALSE, 'Annex Aerodromes'!$R$59:$R$258, E$17, 'Annex Aerodromes'!$Q$59:$Q$258, $K19)))</f>
        <v>90</v>
      </c>
      <c r="F19" s="865" t="str">
        <f>IF(CNTR_ETS3c6OptOut=TRUE, "",
                    IF(SUMIFS('Annex Aerodromes'!$K$59:$K$258, 'Annex Aerodromes'!$O$59:$O$258, FALSE, 'Annex Aerodromes'!$P$59:$P$258, FALSE, 'Annex Aerodromes'!$R$59:$R$258, F$17, 'Annex Aerodromes'!$Q$59:$Q$258, $K19) = 0,    "",
                    SUMIFS('Annex Aerodromes'!$K$59:$K$258, 'Annex Aerodromes'!$O$59:$O$258, FALSE, 'Annex Aerodromes'!$P$59:$P$258, FALSE, 'Annex Aerodromes'!$R$59:$R$258, F$17, 'Annex Aerodromes'!$Q$59:$Q$258, $K19)))</f>
        <v/>
      </c>
      <c r="G19" s="865" t="str">
        <f>IF(CNTR_ETS3c6OptOut=TRUE, "",
                    IF(SUMIFS('Annex Aerodromes'!$K$59:$K$258, 'Annex Aerodromes'!$O$59:$O$258, FALSE, 'Annex Aerodromes'!$P$59:$P$258, FALSE, 'Annex Aerodromes'!$R$59:$R$258, G$17, 'Annex Aerodromes'!$Q$59:$Q$258, $K19) = 0,    "",
                    SUMIFS('Annex Aerodromes'!$K$59:$K$258, 'Annex Aerodromes'!$O$59:$O$258, FALSE, 'Annex Aerodromes'!$P$59:$P$258, FALSE, 'Annex Aerodromes'!$R$59:$R$258, G$17, 'Annex Aerodromes'!$Q$59:$Q$258, $K19)))</f>
        <v/>
      </c>
      <c r="H19" s="740">
        <f>IF(CNTR_ETS3c6OptOut=TRUE, "",
                    IF(SUMIFS('Annex Aerodromes'!$K$59:$K$258, 'Annex Aerodromes'!$O$59:$O$258, FALSE, 'Annex Aerodromes'!$P$59:$P$258, FALSE, 'Annex Aerodromes'!$R$59:$R$258, H$17, 'Annex Aerodromes'!$Q$59:$Q$258, $K19) = 0,    "",
                    SUMIFS('Annex Aerodromes'!$K$59:$K$258, 'Annex Aerodromes'!$O$59:$O$258, FALSE, 'Annex Aerodromes'!$P$59:$P$258, FALSE, 'Annex Aerodromes'!$R$59:$R$258, H$17, 'Annex Aerodromes'!$Q$59:$Q$258, $K19)))</f>
        <v>70</v>
      </c>
      <c r="I19" s="741">
        <f t="shared" ref="I19:I25" si="1">IF(SUM(E19:H19)=0,"",SUM(E19:H19))</f>
        <v>160</v>
      </c>
      <c r="K19" s="736" t="str">
        <f t="shared" si="0"/>
        <v>Biofuel</v>
      </c>
      <c r="M19" s="721"/>
    </row>
    <row r="20" spans="1:13" x14ac:dyDescent="0.25">
      <c r="C20" s="723"/>
      <c r="D20" s="738" t="s">
        <v>96</v>
      </c>
      <c r="E20" s="740" t="str">
        <f>IF(CNTR_ETS3c6OptOut=TRUE, "",
                    IF(SUMIFS('Annex Aerodromes'!$K$59:$K$258, 'Annex Aerodromes'!$O$59:$O$258, FALSE, 'Annex Aerodromes'!$P$59:$P$258, FALSE, 'Annex Aerodromes'!$R$59:$R$258, E$17, 'Annex Aerodromes'!$Q$59:$Q$258, $K20) = 0,    "",
                    SUMIFS('Annex Aerodromes'!$K$59:$K$258, 'Annex Aerodromes'!$O$59:$O$258, FALSE, 'Annex Aerodromes'!$P$59:$P$258, FALSE, 'Annex Aerodromes'!$R$59:$R$258, E$17, 'Annex Aerodromes'!$Q$59:$Q$258, $K20)))</f>
        <v/>
      </c>
      <c r="F20" s="865" t="str">
        <f>IF(CNTR_ETS3c6OptOut=TRUE, "",
                    IF(SUMIFS('Annex Aerodromes'!$K$59:$K$258, 'Annex Aerodromes'!$O$59:$O$258, FALSE, 'Annex Aerodromes'!$P$59:$P$258, FALSE, 'Annex Aerodromes'!$R$59:$R$258, F$17, 'Annex Aerodromes'!$Q$59:$Q$258, $K20) = 0,    "",
                    SUMIFS('Annex Aerodromes'!$K$59:$K$258, 'Annex Aerodromes'!$O$59:$O$258, FALSE, 'Annex Aerodromes'!$P$59:$P$258, FALSE, 'Annex Aerodromes'!$R$59:$R$258, F$17, 'Annex Aerodromes'!$Q$59:$Q$258, $K20)))</f>
        <v/>
      </c>
      <c r="G20" s="865" t="str">
        <f>IF(CNTR_ETS3c6OptOut=TRUE, "",
                    IF(SUMIFS('Annex Aerodromes'!$K$59:$K$258, 'Annex Aerodromes'!$O$59:$O$258, FALSE, 'Annex Aerodromes'!$P$59:$P$258, FALSE, 'Annex Aerodromes'!$R$59:$R$258, G$17, 'Annex Aerodromes'!$Q$59:$Q$258, $K20) = 0,    "",
                    SUMIFS('Annex Aerodromes'!$K$59:$K$258, 'Annex Aerodromes'!$O$59:$O$258, FALSE, 'Annex Aerodromes'!$P$59:$P$258, FALSE, 'Annex Aerodromes'!$R$59:$R$258, G$17, 'Annex Aerodromes'!$Q$59:$Q$258, $K20)))</f>
        <v/>
      </c>
      <c r="H20" s="740" t="str">
        <f>IF(CNTR_ETS3c6OptOut=TRUE, "",
                    IF(SUMIFS('Annex Aerodromes'!$K$59:$K$258, 'Annex Aerodromes'!$O$59:$O$258, FALSE, 'Annex Aerodromes'!$P$59:$P$258, FALSE, 'Annex Aerodromes'!$R$59:$R$258, H$17, 'Annex Aerodromes'!$Q$59:$Q$258, $K20) = 0,    "",
                    SUMIFS('Annex Aerodromes'!$K$59:$K$258, 'Annex Aerodromes'!$O$59:$O$258, FALSE, 'Annex Aerodromes'!$P$59:$P$258, FALSE, 'Annex Aerodromes'!$R$59:$R$258, H$17, 'Annex Aerodromes'!$Q$59:$Q$258, $K20)))</f>
        <v/>
      </c>
      <c r="I20" s="741" t="str">
        <f t="shared" si="1"/>
        <v/>
      </c>
      <c r="K20" s="736" t="str">
        <f t="shared" si="0"/>
        <v>Other Biofuel</v>
      </c>
      <c r="M20" s="721"/>
    </row>
    <row r="21" spans="1:13" x14ac:dyDescent="0.25">
      <c r="C21" s="723"/>
      <c r="D21" s="738" t="s">
        <v>99</v>
      </c>
      <c r="E21" s="865" t="str">
        <f>IF(CNTR_ETS3c6OptOut=TRUE, "",
                    IF(SUMIFS('Annex Aerodromes'!$K$59:$K$258, 'Annex Aerodromes'!$O$59:$O$258, FALSE, 'Annex Aerodromes'!$P$59:$P$258, FALSE, 'Annex Aerodromes'!$R$59:$R$258, E$17, 'Annex Aerodromes'!$Q$59:$Q$258, $K21) = 0,    "",
                    SUMIFS('Annex Aerodromes'!$K$59:$K$258, 'Annex Aerodromes'!$O$59:$O$258, FALSE, 'Annex Aerodromes'!$P$59:$P$258, FALSE, 'Annex Aerodromes'!$R$59:$R$258, E$17, 'Annex Aerodromes'!$Q$59:$Q$258, $K21)))</f>
        <v/>
      </c>
      <c r="F21" s="740" t="str">
        <f>IF(CNTR_ETS3c6OptOut=TRUE, "",
                    IF(SUMIFS('Annex Aerodromes'!$K$59:$K$258, 'Annex Aerodromes'!$O$59:$O$258, FALSE, 'Annex Aerodromes'!$P$59:$P$258, FALSE, 'Annex Aerodromes'!$R$59:$R$258, F$17, 'Annex Aerodromes'!$Q$59:$Q$258, $K21) = 0,    "",
                    SUMIFS('Annex Aerodromes'!$K$59:$K$258, 'Annex Aerodromes'!$O$59:$O$258, FALSE, 'Annex Aerodromes'!$P$59:$P$258, FALSE, 'Annex Aerodromes'!$R$59:$R$258, F$17, 'Annex Aerodromes'!$Q$59:$Q$258, $K21)))</f>
        <v/>
      </c>
      <c r="G21" s="865" t="str">
        <f>IF(CNTR_ETS3c6OptOut=TRUE, "",
                    IF(SUMIFS('Annex Aerodromes'!$K$59:$K$258, 'Annex Aerodromes'!$O$59:$O$258, FALSE, 'Annex Aerodromes'!$P$59:$P$258, FALSE, 'Annex Aerodromes'!$R$59:$R$258, G$17, 'Annex Aerodromes'!$Q$59:$Q$258, $K21) = 0,    "",
                    SUMIFS('Annex Aerodromes'!$K$59:$K$258, 'Annex Aerodromes'!$O$59:$O$258, FALSE, 'Annex Aerodromes'!$P$59:$P$258, FALSE, 'Annex Aerodromes'!$R$59:$R$258, G$17, 'Annex Aerodromes'!$Q$59:$Q$258, $K21)))</f>
        <v/>
      </c>
      <c r="H21" s="740" t="str">
        <f>IF(CNTR_ETS3c6OptOut=TRUE, "",
                    IF(SUMIFS('Annex Aerodromes'!$K$59:$K$258, 'Annex Aerodromes'!$O$59:$O$258, FALSE, 'Annex Aerodromes'!$P$59:$P$258, FALSE, 'Annex Aerodromes'!$R$59:$R$258, H$17, 'Annex Aerodromes'!$Q$59:$Q$258, $K21) = 0,    "",
                    SUMIFS('Annex Aerodromes'!$K$59:$K$258, 'Annex Aerodromes'!$O$59:$O$258, FALSE, 'Annex Aerodromes'!$P$59:$P$258, FALSE, 'Annex Aerodromes'!$R$59:$R$258, H$17, 'Annex Aerodromes'!$Q$59:$Q$258, $K21)))</f>
        <v/>
      </c>
      <c r="I21" s="741" t="str">
        <f t="shared" si="1"/>
        <v/>
      </c>
      <c r="K21" s="736" t="str">
        <f t="shared" si="0"/>
        <v>Co-prod. Adv. Biofuel</v>
      </c>
      <c r="M21" s="721"/>
    </row>
    <row r="22" spans="1:13" x14ac:dyDescent="0.25">
      <c r="C22" s="723"/>
      <c r="D22" s="738" t="s">
        <v>102</v>
      </c>
      <c r="E22" s="740" t="str">
        <f>IF(CNTR_ETS3c6OptOut=TRUE, "",
                    IF(SUMIFS('Annex Aerodromes'!$K$59:$K$258, 'Annex Aerodromes'!$O$59:$O$258, FALSE, 'Annex Aerodromes'!$P$59:$P$258, FALSE, 'Annex Aerodromes'!$R$59:$R$258, E$17, 'Annex Aerodromes'!$Q$59:$Q$258, $K22) = 0,    "",
                    SUMIFS('Annex Aerodromes'!$K$59:$K$258, 'Annex Aerodromes'!$O$59:$O$258, FALSE, 'Annex Aerodromes'!$P$59:$P$258, FALSE, 'Annex Aerodromes'!$R$59:$R$258, E$17, 'Annex Aerodromes'!$Q$59:$Q$258, $K22)))</f>
        <v/>
      </c>
      <c r="F22" s="865" t="str">
        <f>IF(CNTR_ETS3c6OptOut=TRUE, "",
                    IF(SUMIFS('Annex Aerodromes'!$K$59:$K$258, 'Annex Aerodromes'!$O$59:$O$258, FALSE, 'Annex Aerodromes'!$P$59:$P$258, FALSE, 'Annex Aerodromes'!$R$59:$R$258, F$17, 'Annex Aerodromes'!$Q$59:$Q$258, $K22) = 0,    "",
                    SUMIFS('Annex Aerodromes'!$K$59:$K$258, 'Annex Aerodromes'!$O$59:$O$258, FALSE, 'Annex Aerodromes'!$P$59:$P$258, FALSE, 'Annex Aerodromes'!$R$59:$R$258, F$17, 'Annex Aerodromes'!$Q$59:$Q$258, $K22)))</f>
        <v/>
      </c>
      <c r="G22" s="865" t="str">
        <f>IF(CNTR_ETS3c6OptOut=TRUE, "",
                    IF(SUMIFS('Annex Aerodromes'!$K$59:$K$258, 'Annex Aerodromes'!$O$59:$O$258, FALSE, 'Annex Aerodromes'!$P$59:$P$258, FALSE, 'Annex Aerodromes'!$R$59:$R$258, G$17, 'Annex Aerodromes'!$Q$59:$Q$258, $K22) = 0,    "",
                    SUMIFS('Annex Aerodromes'!$K$59:$K$258, 'Annex Aerodromes'!$O$59:$O$258, FALSE, 'Annex Aerodromes'!$P$59:$P$258, FALSE, 'Annex Aerodromes'!$R$59:$R$258, G$17, 'Annex Aerodromes'!$Q$59:$Q$258, $K22)))</f>
        <v/>
      </c>
      <c r="H22" s="740" t="str">
        <f>IF(CNTR_ETS3c6OptOut=TRUE, "",
                    IF(SUMIFS('Annex Aerodromes'!$K$59:$K$258, 'Annex Aerodromes'!$O$59:$O$258, FALSE, 'Annex Aerodromes'!$P$59:$P$258, FALSE, 'Annex Aerodromes'!$R$59:$R$258, H$17, 'Annex Aerodromes'!$Q$59:$Q$258, $K22) = 0,    "",
                    SUMIFS('Annex Aerodromes'!$K$59:$K$258, 'Annex Aerodromes'!$O$59:$O$258, FALSE, 'Annex Aerodromes'!$P$59:$P$258, FALSE, 'Annex Aerodromes'!$R$59:$R$258, H$17, 'Annex Aerodromes'!$Q$59:$Q$258, $K22)))</f>
        <v/>
      </c>
      <c r="I22" s="741" t="str">
        <f t="shared" si="1"/>
        <v/>
      </c>
      <c r="K22" s="736" t="str">
        <f t="shared" si="0"/>
        <v>Co-prod. Biofuel</v>
      </c>
      <c r="M22" s="721"/>
    </row>
    <row r="23" spans="1:13" x14ac:dyDescent="0.25">
      <c r="C23" s="723"/>
      <c r="D23" s="738" t="s">
        <v>111</v>
      </c>
      <c r="E23" s="865" t="str">
        <f>IF(CNTR_ETS3c6OptOut=TRUE, "",
                    IF(SUMIFS('Annex Aerodromes'!$K$59:$K$258, 'Annex Aerodromes'!$O$59:$O$258, FALSE, 'Annex Aerodromes'!$P$59:$P$258, FALSE, 'Annex Aerodromes'!$R$59:$R$258, E$17, 'Annex Aerodromes'!$Q$59:$Q$258, $K23) = 0,    "",
                    SUMIFS('Annex Aerodromes'!$K$59:$K$258, 'Annex Aerodromes'!$O$59:$O$258, FALSE, 'Annex Aerodromes'!$P$59:$P$258, FALSE, 'Annex Aerodromes'!$R$59:$R$258, E$17, 'Annex Aerodromes'!$Q$59:$Q$258, $K23)))</f>
        <v/>
      </c>
      <c r="F23" s="865" t="str">
        <f>IF(CNTR_ETS3c6OptOut=TRUE, "",
                    IF(SUMIFS('Annex Aerodromes'!$K$59:$K$258, 'Annex Aerodromes'!$O$59:$O$258, FALSE, 'Annex Aerodromes'!$P$59:$P$258, FALSE, 'Annex Aerodromes'!$R$59:$R$258, F$17, 'Annex Aerodromes'!$Q$59:$Q$258, $K23) = 0,    "",
                    SUMIFS('Annex Aerodromes'!$K$59:$K$258, 'Annex Aerodromes'!$O$59:$O$258, FALSE, 'Annex Aerodromes'!$P$59:$P$258, FALSE, 'Annex Aerodromes'!$R$59:$R$258, F$17, 'Annex Aerodromes'!$Q$59:$Q$258, $K23)))</f>
        <v/>
      </c>
      <c r="G23" s="740">
        <f>IF(CNTR_ETS3c6OptOut=TRUE, "",
                    IF(SUMIFS('Annex Aerodromes'!$K$59:$K$258, 'Annex Aerodromes'!$O$59:$O$258, FALSE, 'Annex Aerodromes'!$P$59:$P$258, FALSE, 'Annex Aerodromes'!$R$59:$R$258, G$17, 'Annex Aerodromes'!$Q$59:$Q$258, $K23) = 0,    "",
                    SUMIFS('Annex Aerodromes'!$K$59:$K$258, 'Annex Aerodromes'!$O$59:$O$258, FALSE, 'Annex Aerodromes'!$P$59:$P$258, FALSE, 'Annex Aerodromes'!$R$59:$R$258, G$17, 'Annex Aerodromes'!$Q$59:$Q$258, $K23)))</f>
        <v>5</v>
      </c>
      <c r="H23" s="740" t="str">
        <f>IF(CNTR_ETS3c6OptOut=TRUE, "",
                    IF(SUMIFS('Annex Aerodromes'!$K$59:$K$258, 'Annex Aerodromes'!$O$59:$O$258, FALSE, 'Annex Aerodromes'!$P$59:$P$258, FALSE, 'Annex Aerodromes'!$R$59:$R$258, H$17, 'Annex Aerodromes'!$Q$59:$Q$258, $K23) = 0,    "",
                    SUMIFS('Annex Aerodromes'!$K$59:$K$258, 'Annex Aerodromes'!$O$59:$O$258, FALSE, 'Annex Aerodromes'!$P$59:$P$258, FALSE, 'Annex Aerodromes'!$R$59:$R$258, H$17, 'Annex Aerodromes'!$Q$59:$Q$258, $K23)))</f>
        <v/>
      </c>
      <c r="I23" s="741">
        <f t="shared" si="1"/>
        <v>5</v>
      </c>
      <c r="K23" s="736" t="str">
        <f t="shared" si="0"/>
        <v>RFNBO</v>
      </c>
      <c r="M23" s="721"/>
    </row>
    <row r="24" spans="1:13" x14ac:dyDescent="0.25">
      <c r="C24" s="723"/>
      <c r="D24" s="738" t="s">
        <v>121</v>
      </c>
      <c r="E24" s="740" t="str">
        <f>IF(CNTR_ETS3c6OptOut=TRUE, "",
                    IF(SUMIFS('Annex Aerodromes'!$K$59:$K$258, 'Annex Aerodromes'!$O$59:$O$258, FALSE, 'Annex Aerodromes'!$P$59:$P$258, FALSE, 'Annex Aerodromes'!$R$59:$R$258, E$17, 'Annex Aerodromes'!$Q$59:$Q$258, $K24) = 0,    "",
                    SUMIFS('Annex Aerodromes'!$K$59:$K$258, 'Annex Aerodromes'!$O$59:$O$258, FALSE, 'Annex Aerodromes'!$P$59:$P$258, FALSE, 'Annex Aerodromes'!$R$59:$R$258, E$17, 'Annex Aerodromes'!$Q$59:$Q$258, $K24)))</f>
        <v/>
      </c>
      <c r="F24" s="865" t="str">
        <f>IF(CNTR_ETS3c6OptOut=TRUE, "",
                    IF(SUMIFS('Annex Aerodromes'!$K$59:$K$258, 'Annex Aerodromes'!$O$59:$O$258, FALSE, 'Annex Aerodromes'!$P$59:$P$258, FALSE, 'Annex Aerodromes'!$R$59:$R$258, F$17, 'Annex Aerodromes'!$Q$59:$Q$258, $K24) = 0,    "",
                    SUMIFS('Annex Aerodromes'!$K$59:$K$258, 'Annex Aerodromes'!$O$59:$O$258, FALSE, 'Annex Aerodromes'!$P$59:$P$258, FALSE, 'Annex Aerodromes'!$R$59:$R$258, F$17, 'Annex Aerodromes'!$Q$59:$Q$258, $K24)))</f>
        <v/>
      </c>
      <c r="G24" s="865" t="str">
        <f>IF(CNTR_ETS3c6OptOut=TRUE, "",
                    IF(SUMIFS('Annex Aerodromes'!$K$59:$K$258, 'Annex Aerodromes'!$O$59:$O$258, FALSE, 'Annex Aerodromes'!$P$59:$P$258, FALSE, 'Annex Aerodromes'!$R$59:$R$258, G$17, 'Annex Aerodromes'!$Q$59:$Q$258, $K24) = 0,    "",
                    SUMIFS('Annex Aerodromes'!$K$59:$K$258, 'Annex Aerodromes'!$O$59:$O$258, FALSE, 'Annex Aerodromes'!$P$59:$P$258, FALSE, 'Annex Aerodromes'!$R$59:$R$258, G$17, 'Annex Aerodromes'!$Q$59:$Q$258, $K24)))</f>
        <v/>
      </c>
      <c r="H24" s="740" t="str">
        <f>IF(CNTR_ETS3c6OptOut=TRUE, "",
                    IF(SUMIFS('Annex Aerodromes'!$K$59:$K$258, 'Annex Aerodromes'!$O$59:$O$258, FALSE, 'Annex Aerodromes'!$P$59:$P$258, FALSE, 'Annex Aerodromes'!$R$59:$R$258, H$17, 'Annex Aerodromes'!$Q$59:$Q$258, $K24) = 0,    "",
                    SUMIFS('Annex Aerodromes'!$K$59:$K$258, 'Annex Aerodromes'!$O$59:$O$258, FALSE, 'Annex Aerodromes'!$P$59:$P$258, FALSE, 'Annex Aerodromes'!$R$59:$R$258, H$17, 'Annex Aerodromes'!$Q$59:$Q$258, $K24)))</f>
        <v/>
      </c>
      <c r="I24" s="741" t="str">
        <f t="shared" si="1"/>
        <v/>
      </c>
      <c r="K24" s="736" t="str">
        <f t="shared" si="0"/>
        <v>non-foss SLCF</v>
      </c>
      <c r="M24" s="721"/>
    </row>
    <row r="25" spans="1:13" ht="14.4" thickBot="1" x14ac:dyDescent="0.3">
      <c r="C25" s="723"/>
      <c r="D25" s="739" t="s">
        <v>129</v>
      </c>
      <c r="E25" s="742" t="str">
        <f>IF(CNTR_ETS3c6OptOut=TRUE, "",
                    IF(SUMIFS('Annex Aerodromes'!$K$59:$K$258, 'Annex Aerodromes'!$O$59:$O$258, FALSE, 'Annex Aerodromes'!$P$59:$P$258, FALSE, 'Annex Aerodromes'!$R$59:$R$258, E$17, 'Annex Aerodromes'!$Q$59:$Q$258, $K25) = 0,    "",
                    SUMIFS('Annex Aerodromes'!$K$59:$K$258, 'Annex Aerodromes'!$O$59:$O$258, FALSE, 'Annex Aerodromes'!$P$59:$P$258, FALSE, 'Annex Aerodromes'!$R$59:$R$258, E$17, 'Annex Aerodromes'!$Q$59:$Q$258, $K25)))</f>
        <v/>
      </c>
      <c r="F25" s="742" t="str">
        <f>IF(CNTR_ETS3c6OptOut=TRUE, "",
                    IF(SUMIFS('Annex Aerodromes'!$K$59:$K$258, 'Annex Aerodromes'!$O$59:$O$258, FALSE, 'Annex Aerodromes'!$P$59:$P$258, FALSE, 'Annex Aerodromes'!$R$59:$R$258, F$17, 'Annex Aerodromes'!$Q$59:$Q$258, $K25) = 0,    "",
                    SUMIFS('Annex Aerodromes'!$K$59:$K$258, 'Annex Aerodromes'!$O$59:$O$258, FALSE, 'Annex Aerodromes'!$P$59:$P$258, FALSE, 'Annex Aerodromes'!$R$59:$R$258, F$17, 'Annex Aerodromes'!$Q$59:$Q$258, $K25)))</f>
        <v/>
      </c>
      <c r="G25" s="742" t="str">
        <f>IF(CNTR_ETS3c6OptOut=TRUE, "",
                    IF(SUMIFS('Annex Aerodromes'!$K$59:$K$258, 'Annex Aerodromes'!$O$59:$O$258, FALSE, 'Annex Aerodromes'!$P$59:$P$258, FALSE, 'Annex Aerodromes'!$R$59:$R$258, G$17, 'Annex Aerodromes'!$Q$59:$Q$258, $K25) = 0,    "",
                    SUMIFS('Annex Aerodromes'!$K$59:$K$258, 'Annex Aerodromes'!$O$59:$O$258, FALSE, 'Annex Aerodromes'!$P$59:$P$258, FALSE, 'Annex Aerodromes'!$R$59:$R$258, G$17, 'Annex Aerodromes'!$Q$59:$Q$258, $K25)))</f>
        <v/>
      </c>
      <c r="H25" s="742" t="str">
        <f>IF(CNTR_ETS3c6OptOut=TRUE, "",
                    IF(SUMIFS('Annex Aerodromes'!$K$59:$K$258, 'Annex Aerodromes'!$O$59:$O$258, FALSE, 'Annex Aerodromes'!$P$59:$P$258, FALSE, 'Annex Aerodromes'!$R$59:$R$258, H$17, 'Annex Aerodromes'!$Q$59:$Q$258, $K25) = 0,    "",
                    SUMIFS('Annex Aerodromes'!$K$59:$K$258, 'Annex Aerodromes'!$O$59:$O$258, FALSE, 'Annex Aerodromes'!$P$59:$P$258, FALSE, 'Annex Aerodromes'!$R$59:$R$258, H$17, 'Annex Aerodromes'!$Q$59:$Q$258, $K25)))</f>
        <v/>
      </c>
      <c r="I25" s="743" t="str">
        <f t="shared" si="1"/>
        <v/>
      </c>
      <c r="K25" s="736" t="str">
        <f t="shared" si="0"/>
        <v>Other (manual)</v>
      </c>
      <c r="M25" s="721"/>
    </row>
    <row r="26" spans="1:13" x14ac:dyDescent="0.25">
      <c r="C26" s="723"/>
      <c r="D26" s="737" t="s">
        <v>241</v>
      </c>
      <c r="E26" s="744">
        <f>IF(SUM(E18:E25) = 0, "", SUM(E18:E25))</f>
        <v>90</v>
      </c>
      <c r="F26" s="744" t="str">
        <f t="shared" ref="F26:I26" si="2">IF(SUM(F18:F25) = 0, "", SUM(F18:F25))</f>
        <v/>
      </c>
      <c r="G26" s="744">
        <f t="shared" si="2"/>
        <v>5</v>
      </c>
      <c r="H26" s="744">
        <f t="shared" si="2"/>
        <v>70</v>
      </c>
      <c r="I26" s="745">
        <f t="shared" si="2"/>
        <v>165</v>
      </c>
      <c r="M26" s="721"/>
    </row>
    <row r="27" spans="1:13" x14ac:dyDescent="0.25">
      <c r="M27" s="721"/>
    </row>
    <row r="28" spans="1:13" x14ac:dyDescent="0.25">
      <c r="M28" s="721"/>
    </row>
    <row r="29" spans="1:13" x14ac:dyDescent="0.25">
      <c r="M29" s="721"/>
    </row>
    <row r="32" spans="1:13" x14ac:dyDescent="0.25">
      <c r="C32" s="725"/>
    </row>
  </sheetData>
  <sheetProtection sheet="1" objects="1" scenarios="1" formatCells="0" formatColumns="0" formatRows="0" insertColumns="0" insertRows="0"/>
  <mergeCells count="8">
    <mergeCell ref="D5:I5"/>
    <mergeCell ref="D10:I10"/>
    <mergeCell ref="E16:H16"/>
    <mergeCell ref="D13:I13"/>
    <mergeCell ref="D14:I14"/>
    <mergeCell ref="D15:I15"/>
    <mergeCell ref="D7:I7"/>
    <mergeCell ref="D8:H8"/>
  </mergeCells>
  <conditionalFormatting sqref="D10:I10">
    <cfRule type="expression" dxfId="42" priority="2">
      <formula>CNTR_ETS3c6OptOut=TRUE</formula>
    </cfRule>
  </conditionalFormatting>
  <conditionalFormatting sqref="E18:I26">
    <cfRule type="expression" dxfId="41" priority="1">
      <formula>OR(CNTR_ETS3c6OptOut=TRUE,AND(E18="",SUM($I$26)&gt;0))</formula>
    </cfRule>
  </conditionalFormatting>
  <dataValidations count="1">
    <dataValidation type="list" allowBlank="1" showInputMessage="1" showErrorMessage="1" sqref="I8" xr:uid="{00000000-0002-0000-0800-000000000000}">
      <formula1>TrueFalse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g xmlns="f7c5e3fa-378b-48b1-a129-e33a73f99ee9">draft</Tag>
    <lcf76f155ced4ddcb4097134ff3c332f xmlns="f7c5e3fa-378b-48b1-a129-e33a73f99ee9">
      <Terms xmlns="http://schemas.microsoft.com/office/infopath/2007/PartnerControls"/>
    </lcf76f155ced4ddcb4097134ff3c332f>
    <TaxCatchAll xmlns="098ed42e-6899-48a5-86ec-62908de97b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802581D1E5194BB751F4A1219E22A7" ma:contentTypeVersion="17" ma:contentTypeDescription="Create a new document." ma:contentTypeScope="" ma:versionID="1acebc500d102c0caba5928a4f69300d">
  <xsd:schema xmlns:xsd="http://www.w3.org/2001/XMLSchema" xmlns:xs="http://www.w3.org/2001/XMLSchema" xmlns:p="http://schemas.microsoft.com/office/2006/metadata/properties" xmlns:ns2="f7c5e3fa-378b-48b1-a129-e33a73f99ee9" xmlns:ns3="098ed42e-6899-48a5-86ec-62908de97b08" targetNamespace="http://schemas.microsoft.com/office/2006/metadata/properties" ma:root="true" ma:fieldsID="67c6a480590bd2d76a3692c29d844919" ns2:_="" ns3:_="">
    <xsd:import namespace="f7c5e3fa-378b-48b1-a129-e33a73f99ee9"/>
    <xsd:import namespace="098ed42e-6899-48a5-86ec-62908de97b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Tag"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c5e3fa-378b-48b1-a129-e33a73f99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Tag" ma:index="22" nillable="true" ma:displayName="Tag" ma:default="draft" ma:description="Tag for final documents" ma:format="Dropdown" ma:internalName="Tag">
      <xsd:simpleType>
        <xsd:restriction base="dms:Choice">
          <xsd:enumeration value="Final"/>
          <xsd:enumeration value="DG CLIMA internal version"/>
          <xsd:enumeration value="draft"/>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8ed42e-6899-48a5-86ec-62908de97b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bceea13-46f5-400d-be62-5742b98684b6}" ma:internalName="TaxCatchAll" ma:showField="CatchAllData" ma:web="098ed42e-6899-48a5-86ec-62908de97b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C491E3-CC20-4F94-87A8-0B181A0BE26F}">
  <ds:schemaRefs>
    <ds:schemaRef ds:uri="http://schemas.microsoft.com/sharepoint/v3/contenttype/forms"/>
  </ds:schemaRefs>
</ds:datastoreItem>
</file>

<file path=customXml/itemProps2.xml><?xml version="1.0" encoding="utf-8"?>
<ds:datastoreItem xmlns:ds="http://schemas.openxmlformats.org/officeDocument/2006/customXml" ds:itemID="{A817FAE0-07B8-4CC0-9666-EDAD769DF35F}">
  <ds:schemaRefs>
    <ds:schemaRef ds:uri="http://www.w3.org/XML/1998/namespace"/>
    <ds:schemaRef ds:uri="098ed42e-6899-48a5-86ec-62908de97b08"/>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terms/"/>
    <ds:schemaRef ds:uri="f7c5e3fa-378b-48b1-a129-e33a73f99ee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29AD4DC-493F-4BEF-AE47-CB48324FB4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c5e3fa-378b-48b1-a129-e33a73f99ee9"/>
    <ds:schemaRef ds:uri="098ed42e-6899-48a5-86ec-62908de97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375</vt:i4>
      </vt:variant>
    </vt:vector>
  </HeadingPairs>
  <TitlesOfParts>
    <vt:vector size="391" baseType="lpstr">
      <vt:lpstr>Contents</vt:lpstr>
      <vt:lpstr>Guidelines and conditions</vt:lpstr>
      <vt:lpstr>Identification and description</vt:lpstr>
      <vt:lpstr>Emissions overview</vt:lpstr>
      <vt:lpstr>Emissions Data</vt:lpstr>
      <vt:lpstr>Aircraft Data</vt:lpstr>
      <vt:lpstr>MS specific content</vt:lpstr>
      <vt:lpstr>Annex Aerodromes</vt:lpstr>
      <vt:lpstr>FEETS Application</vt:lpstr>
      <vt:lpstr>Annex</vt:lpstr>
      <vt:lpstr>Annex_2023</vt:lpstr>
      <vt:lpstr>CORSIA emissions</vt:lpstr>
      <vt:lpstr>EUwideConstants</vt:lpstr>
      <vt:lpstr>MSParameters</vt:lpstr>
      <vt:lpstr>Translations</vt:lpstr>
      <vt:lpstr>VersionDocumentation</vt:lpstr>
      <vt:lpstr>AltFuels</vt:lpstr>
      <vt:lpstr>aviationauthorities</vt:lpstr>
      <vt:lpstr>BooleanValues</vt:lpstr>
      <vt:lpstr>CNST_AltFuelsEligible</vt:lpstr>
      <vt:lpstr>CNST_AltFuelsIsBio</vt:lpstr>
      <vt:lpstr>CNST_AltFuelsIsLCF</vt:lpstr>
      <vt:lpstr>CNST_AltFuelsIsRF</vt:lpstr>
      <vt:lpstr>CNST_AltFuelsSupportRate</vt:lpstr>
      <vt:lpstr>CNST_AltFuelsZero</vt:lpstr>
      <vt:lpstr>CNST_AltFuelTypes</vt:lpstr>
      <vt:lpstr>CNST_AltFuelTypesShort</vt:lpstr>
      <vt:lpstr>CNST_AltMainFuels</vt:lpstr>
      <vt:lpstr>CNST_Biofuels</vt:lpstr>
      <vt:lpstr>CNST_EligibilityLevels</vt:lpstr>
      <vt:lpstr>CNST_FossilAltFuel</vt:lpstr>
      <vt:lpstr>CNST_MainFuelEFref</vt:lpstr>
      <vt:lpstr>CNST_MainFuelNCVref</vt:lpstr>
      <vt:lpstr>CNST_MainFuelTypes</vt:lpstr>
      <vt:lpstr>CNST_RFNBO_RCF</vt:lpstr>
      <vt:lpstr>CNST_SLCF</vt:lpstr>
      <vt:lpstr>CNTR_EFListSelected</vt:lpstr>
      <vt:lpstr>CNTR_EFSystemselected</vt:lpstr>
      <vt:lpstr>CNTR_ETS3c6OptOut</vt:lpstr>
      <vt:lpstr>CNTR_FuelListCompleteData</vt:lpstr>
      <vt:lpstr>CNTR_FuelListEFprelim</vt:lpstr>
      <vt:lpstr>CNTR_FuelListEFprelimInclStd</vt:lpstr>
      <vt:lpstr>CNTR_FuelListIsBioFuel</vt:lpstr>
      <vt:lpstr>CNTR_FuelListIsFossil</vt:lpstr>
      <vt:lpstr>CNTR_FuelListIsRF</vt:lpstr>
      <vt:lpstr>CNTR_FuelListIsSLCF</vt:lpstr>
      <vt:lpstr>CNTR_FuelListIsZero</vt:lpstr>
      <vt:lpstr>CNTR_FuelListIsZeroInclStd</vt:lpstr>
      <vt:lpstr>CNTR_FuelListNames</vt:lpstr>
      <vt:lpstr>CNTR_FuelListNamesInclStd</vt:lpstr>
      <vt:lpstr>CNTR_FuelListSubType</vt:lpstr>
      <vt:lpstr>CNTR_FuelListSupportRate</vt:lpstr>
      <vt:lpstr>CNTR_FuelSelection</vt:lpstr>
      <vt:lpstr>CNTR_FuelSelectionInclStd</vt:lpstr>
      <vt:lpstr>CNTR_ReportingYear</vt:lpstr>
      <vt:lpstr>CNTR_simplified_grey</vt:lpstr>
      <vt:lpstr>CommissionApprovedTools</vt:lpstr>
      <vt:lpstr>CompetentAuthorities</vt:lpstr>
      <vt:lpstr>CONTR_CORSIAapplied</vt:lpstr>
      <vt:lpstr>CONTR_onlyCORSIA</vt:lpstr>
      <vt:lpstr>CORSIA_EFList</vt:lpstr>
      <vt:lpstr>CORSIA_FuelsList</vt:lpstr>
      <vt:lpstr>DensMethod</vt:lpstr>
      <vt:lpstr>EF_SystemSelection</vt:lpstr>
      <vt:lpstr>ErrMsg_Art3c6OK</vt:lpstr>
      <vt:lpstr>ERRmsg_Incomplete</vt:lpstr>
      <vt:lpstr>ERRmsg_SelectMainFuel</vt:lpstr>
      <vt:lpstr>ErrMsg_YouOptOut</vt:lpstr>
      <vt:lpstr>EU_EF_forCORSIAFuelList</vt:lpstr>
      <vt:lpstr>EUconst_Eligible</vt:lpstr>
      <vt:lpstr>EUconst_ErrMsgNumerOfFlights</vt:lpstr>
      <vt:lpstr>Euconst_MPReferenceDateTypes</vt:lpstr>
      <vt:lpstr>Euconst_NA</vt:lpstr>
      <vt:lpstr>EUconst_NotEligible</vt:lpstr>
      <vt:lpstr>EUETS_FuelsList</vt:lpstr>
      <vt:lpstr>flighttypes</vt:lpstr>
      <vt:lpstr>freightandmail</vt:lpstr>
      <vt:lpstr>Frequency</vt:lpstr>
      <vt:lpstr>ICAO_MSList</vt:lpstr>
      <vt:lpstr>IND_COL_AircraftEndDate</vt:lpstr>
      <vt:lpstr>IND_COL_AircraftOwner</vt:lpstr>
      <vt:lpstr>IND_COL_AircraftRegistrytionNumbers</vt:lpstr>
      <vt:lpstr>IND_COL_AircraftStartingDate</vt:lpstr>
      <vt:lpstr>IND_COL_AircraftSubType</vt:lpstr>
      <vt:lpstr>IND_COL_AircraftType</vt:lpstr>
      <vt:lpstr>IND_COL_AircraftUsedForCHETS</vt:lpstr>
      <vt:lpstr>IND_COL_AircraftUsedForCORSIA</vt:lpstr>
      <vt:lpstr>IND_COL_AircraftUsedForEUETS</vt:lpstr>
      <vt:lpstr>IND_COL_CORSIA_CERTused</vt:lpstr>
      <vt:lpstr>IND_COL_CORSIA_UnusedColumnE</vt:lpstr>
      <vt:lpstr>IND_COL_CORSIA_UnusedColumnH</vt:lpstr>
      <vt:lpstr>IND_COL_CORSIAairportFROM</vt:lpstr>
      <vt:lpstr>IND_COL_CORSIAairportTO</vt:lpstr>
      <vt:lpstr>IND_COL_CORSIAcountryFROM</vt:lpstr>
      <vt:lpstr>IND_COL_CORSIAcountryTO</vt:lpstr>
      <vt:lpstr>IND_COL_CORSIAemissionsTCO2</vt:lpstr>
      <vt:lpstr>IND_COL_CORSIAfuelEmissionFactor</vt:lpstr>
      <vt:lpstr>IND_COL_CORSIAfuelTonnesConsumed</vt:lpstr>
      <vt:lpstr>IND_COL_CORSIAfuelType</vt:lpstr>
      <vt:lpstr>IND_COL_CORSIANumberOfFlights</vt:lpstr>
      <vt:lpstr>IND_COL_CORSIAoffsettingRequirement</vt:lpstr>
      <vt:lpstr>INDICATIOR_FeetAggTable</vt:lpstr>
      <vt:lpstr>INDICATOR_5b1ETS_AlternativeFuelsDescription</vt:lpstr>
      <vt:lpstr>INDICATOR_5b1ETS_AlternativeFuelsDescriptionFeedstock</vt:lpstr>
      <vt:lpstr>INDICATOR_5b1ETS_AlternativeFuelsDescriptionLCEmissions</vt:lpstr>
      <vt:lpstr>INDICATOR_5b1ETS_AlternativeFuelsDescriptionName</vt:lpstr>
      <vt:lpstr>INDICATOR_5b1ETS_AlternativeFuelsDescriptionNumber</vt:lpstr>
      <vt:lpstr>INDICATOR_5b1ETS_AlternativeFuelsDescriptionProcess</vt:lpstr>
      <vt:lpstr>INDICATOR_5bETS_FuelsDefinition</vt:lpstr>
      <vt:lpstr>INDICATOR_5bETS_FuelsDefinitionBioContent</vt:lpstr>
      <vt:lpstr>INDICATOR_5bETS_FuelsDefinitionBioContentNonSust</vt:lpstr>
      <vt:lpstr>INDICATOR_5bETS_FuelsDefinitionName</vt:lpstr>
      <vt:lpstr>INDICATOR_5bETS_FuelsDefinitionNCV</vt:lpstr>
      <vt:lpstr>INDICATOR_5bETS_FuelsDefinitionNumber</vt:lpstr>
      <vt:lpstr>INDICATOR_5bETS_FuelsDefinitionPrelimEF</vt:lpstr>
      <vt:lpstr>INDICATOR_5cETS_FuelsEmissionsCO2Bio</vt:lpstr>
      <vt:lpstr>INDICATOR_5cETS_FuelsEmissionsCO2BioNonSust</vt:lpstr>
      <vt:lpstr>INDICATOR_5cETS_FuelsEmissionsCO2Em</vt:lpstr>
      <vt:lpstr>INDICATOR_5cETS_FuelsEmissionsEF</vt:lpstr>
      <vt:lpstr>INDICATOR_5cETS_FuelsEmissionsFuelConsumption</vt:lpstr>
      <vt:lpstr>INDICATOR_5cETS_FuelsEmissionsName</vt:lpstr>
      <vt:lpstr>INDICATOR_5cETS_FuelsEmissionsNumber</vt:lpstr>
      <vt:lpstr>INDICATOR_5cETS_FuelsEmissionsTable</vt:lpstr>
      <vt:lpstr>INDICATOR_5dCHETS_FuelsEmissionsCO2Bio</vt:lpstr>
      <vt:lpstr>INDICATOR_5dCHETS_FuelsEmissionsCO2BioNonSust</vt:lpstr>
      <vt:lpstr>INDICATOR_5dCHETS_FuelsEmissionsCO2Em</vt:lpstr>
      <vt:lpstr>INDICATOR_5dCHETS_FuelsEmissionsEF</vt:lpstr>
      <vt:lpstr>INDICATOR_5dCHETS_FuelsEmissionsFuelConsumption</vt:lpstr>
      <vt:lpstr>INDICATOR_5dCHETS_FuelsEmissionsName</vt:lpstr>
      <vt:lpstr>INDICATOR_5dCHETS_FuelsEmissionsTable</vt:lpstr>
      <vt:lpstr>INDICATOR_8aEUETS_Summary</vt:lpstr>
      <vt:lpstr>INDICATOR_8bbCHETS_DomesticFlightsTable</vt:lpstr>
      <vt:lpstr>INDICATOR_8bbCHETS_EmissionsTotalCH</vt:lpstr>
      <vt:lpstr>INDICATOR_8bbCHETS_FuelUseAlternative1</vt:lpstr>
      <vt:lpstr>INDICATOR_8bbCHETS_FuelUseAvGas</vt:lpstr>
      <vt:lpstr>INDICATOR_8bbCHETS_FuelUseJetA_A1</vt:lpstr>
      <vt:lpstr>INDICATOR_8bbCHETS_FuelUseJetB</vt:lpstr>
      <vt:lpstr>INDICATOR_8bbCHETS_NumberFlights</vt:lpstr>
      <vt:lpstr>INDICATOR_8bcCHETS_EmissionsTotalPerPair</vt:lpstr>
      <vt:lpstr>INDICATOR_8bcCHETS_FuelUseAlternative1</vt:lpstr>
      <vt:lpstr>INDICATOR_8bcCHETS_FuelUseAvGas</vt:lpstr>
      <vt:lpstr>INDICATOR_8bcCHETS_FuelUseJetA_A1</vt:lpstr>
      <vt:lpstr>INDICATOR_8bcCHETS_FuelUseJetB</vt:lpstr>
      <vt:lpstr>INDICATOR_8bcCHETS_MSFlightsTable</vt:lpstr>
      <vt:lpstr>INDICATOR_8bcCHETS_NumberFlights</vt:lpstr>
      <vt:lpstr>INDICATOR_8bcCHETS_StateArrival</vt:lpstr>
      <vt:lpstr>INDICATOR_8bCHETS_Summary</vt:lpstr>
      <vt:lpstr>INDICATOR_8bETS_EmissionsTotalPerMS</vt:lpstr>
      <vt:lpstr>INDICATOR_8bETS_FuelUseAlternative</vt:lpstr>
      <vt:lpstr>INDICATOR_8bETS_FuelUseAvGas</vt:lpstr>
      <vt:lpstr>INDICATOR_8bETS_FuelUseJetA_A1</vt:lpstr>
      <vt:lpstr>INDICATOR_8bETS_FuelUseJetB</vt:lpstr>
      <vt:lpstr>INDICATOR_8bETS_MS</vt:lpstr>
      <vt:lpstr>INDICATOR_8bETS_MSFlightsTable</vt:lpstr>
      <vt:lpstr>INDICATOR_8bETS_NumberFlights</vt:lpstr>
      <vt:lpstr>INDICATOR_8cETS_EEAFlightsTable</vt:lpstr>
      <vt:lpstr>INDICATOR_8cETS_EmissionsTotalPerPair</vt:lpstr>
      <vt:lpstr>INDICATOR_8cETS_FuelUseAlternative</vt:lpstr>
      <vt:lpstr>INDICATOR_8cETS_FuelUseAvGas</vt:lpstr>
      <vt:lpstr>INDICATOR_8cETS_FuelUseJetA_A1</vt:lpstr>
      <vt:lpstr>INDICATOR_8cETS_FuelUseJetB</vt:lpstr>
      <vt:lpstr>INDICATOR_8cETS_NumberFlights</vt:lpstr>
      <vt:lpstr>INDICATOR_8cETS_StateArrival</vt:lpstr>
      <vt:lpstr>INDICATOR_8cETS_StateDeparture</vt:lpstr>
      <vt:lpstr>INDICATOR_AdminCA</vt:lpstr>
      <vt:lpstr>INDICATOR_AdminMS</vt:lpstr>
      <vt:lpstr>INDICATOR_AircraftData</vt:lpstr>
      <vt:lpstr>INDICATOR_AircraftData_CORSIAuse</vt:lpstr>
      <vt:lpstr>INDICATOR_AircraftData_EUETSuse</vt:lpstr>
      <vt:lpstr>INDICATOR_AircraftData_FleetEndDate</vt:lpstr>
      <vt:lpstr>INDICATOR_AircraftData_FleetStartingDate</vt:lpstr>
      <vt:lpstr>INDICATOR_AircraftData_Owner</vt:lpstr>
      <vt:lpstr>INDICATOR_AircraftData_RegistrationNumber</vt:lpstr>
      <vt:lpstr>INDICATOR_AircraftData_SubType</vt:lpstr>
      <vt:lpstr>INDICATOR_AircraftData_Type</vt:lpstr>
      <vt:lpstr>Annex_2023!INDICATOR_Annex23EUETS_AerodromeArrival</vt:lpstr>
      <vt:lpstr>Annex_2023!INDICATOR_Annex23EUETS_AerodromeDeparture</vt:lpstr>
      <vt:lpstr>Annex_2023!INDICATOR_Annex23EUETS_EmissionsPerPair</vt:lpstr>
      <vt:lpstr>INDICATOR_Annex23EUETS_ExcludedEmissions</vt:lpstr>
      <vt:lpstr>Annex_2023!INDICATOR_Annex23EUETS_FlightsPerPair</vt:lpstr>
      <vt:lpstr>Annex_2023!INDICATOR_Annex23EUETS_TotalEmissions</vt:lpstr>
      <vt:lpstr>Annex_2023!INDICATOR_Annex23EUETS_TotalFlights</vt:lpstr>
      <vt:lpstr>INDICATOR_Annex23EUETS_TotalforAllocation</vt:lpstr>
      <vt:lpstr>Annex_2023!INDICATOR_Annex23EUETStable</vt:lpstr>
      <vt:lpstr>INDICATOR_AnnexAerodromesTable</vt:lpstr>
      <vt:lpstr>INDICATOR_AnnexAerodromesTotalAttrFuel</vt:lpstr>
      <vt:lpstr>INDICATOR_AnnexAerodromesTotalAttrZRFuel</vt:lpstr>
      <vt:lpstr>INDICATOR_AnnexAerodromesTotalFEETSFuel</vt:lpstr>
      <vt:lpstr>INDICATOR_AnnexAerodromesTotalFuel</vt:lpstr>
      <vt:lpstr>INDICATOR_AnnexEUETS_AerodromeArrival</vt:lpstr>
      <vt:lpstr>INDICATOR_AnnexEUETS_AerodromeDeparture</vt:lpstr>
      <vt:lpstr>INDICATOR_AnnexEUETS_EmissionsPerPair</vt:lpstr>
      <vt:lpstr>INDICATOR_AnnexEUETS_FlightsPerPair</vt:lpstr>
      <vt:lpstr>INDICATOR_AnnexEUETS_TotalEmissions</vt:lpstr>
      <vt:lpstr>INDICATOR_AnnexEUETS_TotalFlights</vt:lpstr>
      <vt:lpstr>INDICATOR_AnnexEUETS_TotalFuel</vt:lpstr>
      <vt:lpstr>INDICATOR_AnnexEUETStable</vt:lpstr>
      <vt:lpstr>INDICATOR_AOAddressCity</vt:lpstr>
      <vt:lpstr>INDICATOR_AOAddressCountry</vt:lpstr>
      <vt:lpstr>INDICATOR_AOAddressEmail</vt:lpstr>
      <vt:lpstr>INDICATOR_AOAddressLine1</vt:lpstr>
      <vt:lpstr>INDICATOR_AOAddressLine2</vt:lpstr>
      <vt:lpstr>INDICATOR_AOAddressStateProvince</vt:lpstr>
      <vt:lpstr>INDICATOR_AOAddressTelephone</vt:lpstr>
      <vt:lpstr>INDICATOR_AOAddressZIP</vt:lpstr>
      <vt:lpstr>INDICATOR_AOC</vt:lpstr>
      <vt:lpstr>INDICATOR_AOCissueingAuthority</vt:lpstr>
      <vt:lpstr>INDICATOR_AOContactPersonEmail</vt:lpstr>
      <vt:lpstr>INDICATOR_AOContactPersonFirstName</vt:lpstr>
      <vt:lpstr>INDICATOR_AOContactPersonJobTitle</vt:lpstr>
      <vt:lpstr>INDICATOR_AOContactPersonOrganisation</vt:lpstr>
      <vt:lpstr>INDICATOR_AOContactPersonSurname</vt:lpstr>
      <vt:lpstr>INDICATOR_AOContactPersonTelephone</vt:lpstr>
      <vt:lpstr>INDICATOR_AOContactPersonTitle</vt:lpstr>
      <vt:lpstr>INDICATOR_AOCorrespondenceAddressLine1</vt:lpstr>
      <vt:lpstr>INDICATOR_AOCorrespondenceAddressLine2</vt:lpstr>
      <vt:lpstr>INDICATOR_AOCorrespondenceCity</vt:lpstr>
      <vt:lpstr>INDICATOR_AOCorrespondenceCountry</vt:lpstr>
      <vt:lpstr>INDICATOR_AOCorrespondenceEmail</vt:lpstr>
      <vt:lpstr>INDICATOR_AOCorrespondenceFirstName</vt:lpstr>
      <vt:lpstr>INDICATOR_AOCorrespondenceStateProvince</vt:lpstr>
      <vt:lpstr>INDICATOR_AOCorrespondenceSurname</vt:lpstr>
      <vt:lpstr>INDICATOR_AOCorrespondenceTelephone</vt:lpstr>
      <vt:lpstr>INDICATOR_AOCorrespondenceTitle</vt:lpstr>
      <vt:lpstr>INDICATOR_AOCorrespondenceZIP</vt:lpstr>
      <vt:lpstr>INDICATOR_AOLegalReprAddressLine1</vt:lpstr>
      <vt:lpstr>INDICATOR_AOLegalReprAddressLine2</vt:lpstr>
      <vt:lpstr>INDICATOR_AOLegalReprCity</vt:lpstr>
      <vt:lpstr>INDICATOR_AOLegalReprCountry</vt:lpstr>
      <vt:lpstr>INDICATOR_AOLegalReprEmail</vt:lpstr>
      <vt:lpstr>INDICATOR_AOLegalReprFirstName</vt:lpstr>
      <vt:lpstr>INDICATOR_AOLegalReprStateProvince</vt:lpstr>
      <vt:lpstr>INDICATOR_AOLegalReprSurname</vt:lpstr>
      <vt:lpstr>INDICATOR_AOLegalReprTelephone</vt:lpstr>
      <vt:lpstr>INDICATOR_AOLegalReprTitle</vt:lpstr>
      <vt:lpstr>INDICATOR_AOLegalReprZIP</vt:lpstr>
      <vt:lpstr>INDICATOR_AOname</vt:lpstr>
      <vt:lpstr>INDICATOR_AOnameEClist</vt:lpstr>
      <vt:lpstr>INDICATOR_AOuniquID</vt:lpstr>
      <vt:lpstr>INDICATOR_Art28a6Used</vt:lpstr>
      <vt:lpstr>INDICATOR_CHETS_TotalEmissions</vt:lpstr>
      <vt:lpstr>INDICATOR_CHETS_TotalFlights</vt:lpstr>
      <vt:lpstr>INDICATOR_CHETS_TotalNonSustainableBiomassEmissions</vt:lpstr>
      <vt:lpstr>INDICATOR_CHETS_TotalNonZeroRatedBioEm</vt:lpstr>
      <vt:lpstr>INDICATOR_CHETS_TotalNonZeroRatedRFNBO</vt:lpstr>
      <vt:lpstr>INDICATOR_CHETS_TotalNonZeroRatedSLCF</vt:lpstr>
      <vt:lpstr>INDICATOR_CHETS_TotalPrelEF_Emissions</vt:lpstr>
      <vt:lpstr>INDICATOR_CHETS_TotalSustainableBiomassEmissions</vt:lpstr>
      <vt:lpstr>INDICATOR_CHETS_TotalZeroRatedBioEm</vt:lpstr>
      <vt:lpstr>INDICATOR_CHETS_TotalZeroRatedEmissions</vt:lpstr>
      <vt:lpstr>INDICATOR_CHETS_TotalZeroRatedRFNBO</vt:lpstr>
      <vt:lpstr>INDICATOR_CHETS_TotalZeroRatedSLCF</vt:lpstr>
      <vt:lpstr>INDICATOR_Comments</vt:lpstr>
      <vt:lpstr>INDICATOR_CORSIA_EligibleFuels</vt:lpstr>
      <vt:lpstr>INDICATOR_CORSIA_EligibleFuels_Feedstock</vt:lpstr>
      <vt:lpstr>INDICATOR_CORSIA_EligibleFuels_LCEmissions</vt:lpstr>
      <vt:lpstr>INDICATOR_CORSIA_EligibleFuels_MassNeat</vt:lpstr>
      <vt:lpstr>INDICATOR_CORSIA_EligibleFuels_ReductionsClaimed</vt:lpstr>
      <vt:lpstr>INDICATOR_CORSIA_EligibleFuels_Type</vt:lpstr>
      <vt:lpstr>INDICATOR_CORSIA_EligibleFuelsTable</vt:lpstr>
      <vt:lpstr>INDICATOR_CORSIA_EligibleFuelsTOTAL</vt:lpstr>
      <vt:lpstr>INDICATOR_CORSIA_EmissionsTable</vt:lpstr>
      <vt:lpstr>INDICATOR_CORSIA_totalCO2</vt:lpstr>
      <vt:lpstr>INDICATOR_CORSIA_totalCO2withOffsetting</vt:lpstr>
      <vt:lpstr>INDICATOR_CORSIA_totalFlights</vt:lpstr>
      <vt:lpstr>INDICATOR_CORSIA_totalFlightsWithOffsetting</vt:lpstr>
      <vt:lpstr>INDICATOR_CORSIA_totalTonnesAvGas</vt:lpstr>
      <vt:lpstr>INDICATOR_CORSIA_totalTonnesEligibleFuelsClaimed</vt:lpstr>
      <vt:lpstr>INDICATOR_CORSIA_totalTonnesJetA</vt:lpstr>
      <vt:lpstr>INDICATOR_CORSIA_totalTonnesJetA1</vt:lpstr>
      <vt:lpstr>INDICATOR_CORSIA_totalTonnesJetB</vt:lpstr>
      <vt:lpstr>INDICATOR_CORSIAAnnexConfidential</vt:lpstr>
      <vt:lpstr>INDICATOR_CORSIAAnnexConfidentialReasonFromETS</vt:lpstr>
      <vt:lpstr>INDICATOR_CORSIAapplied</vt:lpstr>
      <vt:lpstr>INDICATOR_CORSIAotherState</vt:lpstr>
      <vt:lpstr>INDICATOR_CORSIAReportToState</vt:lpstr>
      <vt:lpstr>INDICATOR_DataGapsEmissions</vt:lpstr>
      <vt:lpstr>INDICATOR_DataGapsPercentCORSIA</vt:lpstr>
      <vt:lpstr>INDICATOR_DataGapsPercentETS</vt:lpstr>
      <vt:lpstr>INDICATOR_DataGapsReason</vt:lpstr>
      <vt:lpstr>INDICATOR_DataGapsReference</vt:lpstr>
      <vt:lpstr>INDICATOR_DataGapsReplacementMethod</vt:lpstr>
      <vt:lpstr>INDICATOR_DataGapsTable</vt:lpstr>
      <vt:lpstr>INDICATOR_DataGapsType</vt:lpstr>
      <vt:lpstr>INDICATOR_ETS_EmissionsFullScope</vt:lpstr>
      <vt:lpstr>INDICATOR_ETS_EmissionsReducedScope</vt:lpstr>
      <vt:lpstr>INDICATOR_ETS_FlightsPerPeriod</vt:lpstr>
      <vt:lpstr>INDICATOR_ETS_SETEligibility</vt:lpstr>
      <vt:lpstr>INDICATOR_ETS_TotalEmissions</vt:lpstr>
      <vt:lpstr>INDICATOR_ETS_TotalFlights</vt:lpstr>
      <vt:lpstr>INDICATOR_ETS_TotalNonSustainableBiomassEmissions</vt:lpstr>
      <vt:lpstr>INDICATOR_ETS_TotalNonZeroRatedBioEm</vt:lpstr>
      <vt:lpstr>INDICATOR_ETS_TotalNonZeroRatedRFNBO</vt:lpstr>
      <vt:lpstr>INDICATOR_ETS_TotalNonZeroRatedSLCF</vt:lpstr>
      <vt:lpstr>INDICATOR_ETS_TotalPrelEF_Emissions</vt:lpstr>
      <vt:lpstr>INDICATOR_ETS_TotalSustainableBiomassEmissions</vt:lpstr>
      <vt:lpstr>INDICATOR_ETS_TotalZeroRatedBioEm</vt:lpstr>
      <vt:lpstr>INDICATOR_ETS_TotalZeroRatedEmissions</vt:lpstr>
      <vt:lpstr>INDICATOR_ETS_TotalZeroRatedRFNBO</vt:lpstr>
      <vt:lpstr>INDICATOR_ETS_TotalZeroRatedSLCF</vt:lpstr>
      <vt:lpstr>INDICATOR_EUETS_TotalFlights</vt:lpstr>
      <vt:lpstr>INDICATOR_EUETSAnnexConfidential</vt:lpstr>
      <vt:lpstr>INDICATOR_EUETSAnnexConfidentialFileName</vt:lpstr>
      <vt:lpstr>INDICATOR_EUETSAnnexConfidentialReasoning</vt:lpstr>
      <vt:lpstr>INDICATOR_ICAOcallSign</vt:lpstr>
      <vt:lpstr>INDICATOR_LanguageFilling</vt:lpstr>
      <vt:lpstr>INDICATOR_MPApprovalDate</vt:lpstr>
      <vt:lpstr>INDICATOR_MPDeviations</vt:lpstr>
      <vt:lpstr>INDICATOR_MPDeviationsDescription</vt:lpstr>
      <vt:lpstr>INDICATOR_MPVersion</vt:lpstr>
      <vt:lpstr>INDICATOR_NoETSobligation</vt:lpstr>
      <vt:lpstr>INDICATOR_OperatingLicense</vt:lpstr>
      <vt:lpstr>INDICATOR_OperatingLicenseAuthority</vt:lpstr>
      <vt:lpstr>INDICATOR_ReferenceFileName</vt:lpstr>
      <vt:lpstr>INDICATOR_RegistrationMarkings</vt:lpstr>
      <vt:lpstr>INDICATOR_ReportingYear</vt:lpstr>
      <vt:lpstr>INDICATOR_ReportVersion</vt:lpstr>
      <vt:lpstr>INDICATOR_TemplateLanguage</vt:lpstr>
      <vt:lpstr>INDICATOR_TemplateProvidedBy</vt:lpstr>
      <vt:lpstr>INDICATOR_TemplatePublicationDate</vt:lpstr>
      <vt:lpstr>INDICATOR_ToolUsedForAllCORSIAemissions</vt:lpstr>
      <vt:lpstr>INDICATOR_ToolUsedForEmissionsWithoutOffsetting</vt:lpstr>
      <vt:lpstr>INDICATOR_UsedSimplifiedApproachETS</vt:lpstr>
      <vt:lpstr>INDICATOR_VerifierAccredMS</vt:lpstr>
      <vt:lpstr>INDICATOR_VerifierAccredNumber</vt:lpstr>
      <vt:lpstr>INDICATOR_VerifierAdressLine1</vt:lpstr>
      <vt:lpstr>INDICATOR_VerifierAdressLine2</vt:lpstr>
      <vt:lpstr>INDICATOR_VerifierCity</vt:lpstr>
      <vt:lpstr>INDICATOR_VerifierCompany</vt:lpstr>
      <vt:lpstr>INDICATOR_VerifierContactEmail</vt:lpstr>
      <vt:lpstr>INDICATOR_VerifierContactFirstName</vt:lpstr>
      <vt:lpstr>INDICATOR_VerifierContactSurname</vt:lpstr>
      <vt:lpstr>INDICATOR_VerifierContactTelephone</vt:lpstr>
      <vt:lpstr>INDICATOR_VerifierContactTitle</vt:lpstr>
      <vt:lpstr>INDICATOR_VerifierCountry</vt:lpstr>
      <vt:lpstr>INDICATOR_VerifierStateProvince</vt:lpstr>
      <vt:lpstr>INDICATOR_VerifierZIP</vt:lpstr>
      <vt:lpstr>INDICATOR_WhichOtherTool</vt:lpstr>
      <vt:lpstr>INDICATOR_WhichOtherToolForCORSIA</vt:lpstr>
      <vt:lpstr>INDICATOR_WhichToolUsed</vt:lpstr>
      <vt:lpstr>INDICATOR_WhichToolUsedForCORSIA</vt:lpstr>
      <vt:lpstr>indRange</vt:lpstr>
      <vt:lpstr>JUMP_10a</vt:lpstr>
      <vt:lpstr>JUMP_11a</vt:lpstr>
      <vt:lpstr>JUMP_2</vt:lpstr>
      <vt:lpstr>JUMP_3</vt:lpstr>
      <vt:lpstr>JUMP_5</vt:lpstr>
      <vt:lpstr>JUMP_5c</vt:lpstr>
      <vt:lpstr>JUMP_5d</vt:lpstr>
      <vt:lpstr>JUMP_6</vt:lpstr>
      <vt:lpstr>JUMP_7</vt:lpstr>
      <vt:lpstr>Jump_8b</vt:lpstr>
      <vt:lpstr>Legalstatus</vt:lpstr>
      <vt:lpstr>List_AltFuels</vt:lpstr>
      <vt:lpstr>ManSys</vt:lpstr>
      <vt:lpstr>MeasMethod</vt:lpstr>
      <vt:lpstr>memberstates</vt:lpstr>
      <vt:lpstr>MemberStatesWithSwiss</vt:lpstr>
      <vt:lpstr>MSLanguages</vt:lpstr>
      <vt:lpstr>MSversiontracking</vt:lpstr>
      <vt:lpstr>NewUpdate</vt:lpstr>
      <vt:lpstr>notapplicable</vt:lpstr>
      <vt:lpstr>operationscope</vt:lpstr>
      <vt:lpstr>operationsscope</vt:lpstr>
      <vt:lpstr>opstatus</vt:lpstr>
      <vt:lpstr>parameters</vt:lpstr>
      <vt:lpstr>passengermass</vt:lpstr>
      <vt:lpstr>'Aircraft Data'!Print_Area</vt:lpstr>
      <vt:lpstr>Annex!Print_Area</vt:lpstr>
      <vt:lpstr>Annex_2023!Print_Area</vt:lpstr>
      <vt:lpstr>Contents!Print_Area</vt:lpstr>
      <vt:lpstr>'CORSIA emissions'!Print_Area</vt:lpstr>
      <vt:lpstr>'Emissions Data'!Print_Area</vt:lpstr>
      <vt:lpstr>'Emissions overview'!Print_Area</vt:lpstr>
      <vt:lpstr>'Guidelines and conditions'!Print_Area</vt:lpstr>
      <vt:lpstr>'Identification and description'!Print_Area</vt:lpstr>
      <vt:lpstr>'MS specific content'!Print_Area</vt:lpstr>
      <vt:lpstr>VersionDocumentation!Print_Area</vt:lpstr>
      <vt:lpstr>ReportingYears</vt:lpstr>
      <vt:lpstr>SelectPrimaryInfoSource</vt:lpstr>
      <vt:lpstr>SourceClass</vt:lpstr>
      <vt:lpstr>TankDataSource</vt:lpstr>
      <vt:lpstr>Text_Fuel</vt:lpstr>
      <vt:lpstr>Title</vt:lpstr>
      <vt:lpstr>TrueFalse</vt:lpstr>
      <vt:lpstr>UncertThreshold</vt:lpstr>
      <vt:lpstr>UncertTierResult</vt:lpstr>
      <vt:lpstr>UncertValue</vt:lpstr>
      <vt:lpstr>UpliftDataSource</vt:lpstr>
      <vt:lpstr>worldcountries</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 Plan for EU ETS / Aviation / Emissions</dc:title>
  <dc:subject>in accordance with the Regulation pursuant to Article 14 of the EU ETS Directive</dc:subject>
  <dc:creator>Fallmann Hubert</dc:creator>
  <cp:keywords/>
  <dc:description>The template for Monitoring plans was developed by Umweltbundesamt on behalf of DG CLIMA. _x000d_
Authors: Christian Heller / Hubert Fallmann</dc:description>
  <cp:lastModifiedBy>KUSOVA Beata (CLIMA)</cp:lastModifiedBy>
  <cp:revision/>
  <dcterms:created xsi:type="dcterms:W3CDTF">2008-05-26T08:52:55Z</dcterms:created>
  <dcterms:modified xsi:type="dcterms:W3CDTF">2025-01-31T18:17:51Z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bd9ddd1-4d20-43f6-abfa-fc3c07406f94_Enabled">
    <vt:lpwstr>true</vt:lpwstr>
  </property>
  <property fmtid="{D5CDD505-2E9C-101B-9397-08002B2CF9AE}" pid="4" name="MSIP_Label_6bd9ddd1-4d20-43f6-abfa-fc3c07406f94_SetDate">
    <vt:lpwstr>2023-10-26T12:13:49Z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99ed933e-46f4-4d5f-9335-144eb081f066</vt:lpwstr>
  </property>
  <property fmtid="{D5CDD505-2E9C-101B-9397-08002B2CF9AE}" pid="9" name="MSIP_Label_6bd9ddd1-4d20-43f6-abfa-fc3c07406f94_ContentBits">
    <vt:lpwstr>0</vt:lpwstr>
  </property>
  <property fmtid="{D5CDD505-2E9C-101B-9397-08002B2CF9AE}" pid="10" name="ContentTypeId">
    <vt:lpwstr>0x01010046802581D1E5194BB751F4A1219E22A7</vt:lpwstr>
  </property>
  <property fmtid="{D5CDD505-2E9C-101B-9397-08002B2CF9AE}" pid="11" name="MediaServiceImageTags">
    <vt:lpwstr/>
  </property>
</Properties>
</file>